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821" windowWidth="15360" windowHeight="7170" tabRatio="719" firstSheet="0" activeTab="0"/>
  </bookViews>
  <sheets>
    <sheet name="Biểu 1" sheetId="1" r:id="rId1"/>
    <sheet name="Biểu 2" sheetId="2" r:id="rId2"/>
    <sheet name="Biểu 3" sheetId="3" r:id="rId3"/>
    <sheet name="Biểu 4a" sheetId="4" r:id="rId4"/>
    <sheet name="Biểu 4b" sheetId="5" r:id="rId5"/>
    <sheet name="Biểu 4c" sheetId="6" r:id="rId6"/>
    <sheet name="Biểu 5" sheetId="7" r:id="rId7"/>
    <sheet name="Biểu 7" sheetId="8" r:id="rId8"/>
    <sheet name="Biểu 8" sheetId="9" r:id="rId9"/>
    <sheet name="Biểu 9" sheetId="10" r:id="rId10"/>
    <sheet name="Biểu 10" sheetId="11" r:id="rId11"/>
    <sheet name="Biểu 11" sheetId="12" r:id="rId12"/>
  </sheets>
  <definedNames>
    <definedName name="_xlnm.Print_Titles" localSheetId="0">'Biểu 1'!$4:$4</definedName>
    <definedName name="_xlnm.Print_Titles" localSheetId="10">'Biểu 10'!$4:$4</definedName>
    <definedName name="_xlnm.Print_Titles" localSheetId="11">'Biểu 11'!$4:$4</definedName>
    <definedName name="_xlnm.Print_Titles" localSheetId="2">'Biểu 3'!$4:$5</definedName>
    <definedName name="_xlnm.Print_Titles" localSheetId="3">'Biểu 4a'!$4:$4</definedName>
    <definedName name="_xlnm.Print_Titles" localSheetId="4">'Biểu 4b'!$4:$6</definedName>
    <definedName name="_xlnm.Print_Titles" localSheetId="5">'Biểu 4c'!$4:$5</definedName>
    <definedName name="_xlnm.Print_Titles" localSheetId="6">'Biểu 5'!$4:$4</definedName>
    <definedName name="_xlnm.Print_Titles" localSheetId="7">'Biểu 7'!$4:$4</definedName>
    <definedName name="_xlnm.Print_Titles" localSheetId="8">'Biểu 8'!$4:$4</definedName>
    <definedName name="_xlnm.Print_Titles" localSheetId="9">'Biểu 9'!$4:$4</definedName>
  </definedNames>
  <calcPr fullCalcOnLoad="1"/>
</workbook>
</file>

<file path=xl/sharedStrings.xml><?xml version="1.0" encoding="utf-8"?>
<sst xmlns="http://schemas.openxmlformats.org/spreadsheetml/2006/main" count="1304" uniqueCount="955">
  <si>
    <t>Đơn vị tính</t>
  </si>
  <si>
    <t>Số lượng</t>
  </si>
  <si>
    <t>I</t>
  </si>
  <si>
    <t>CÁC THÔNG TIN CHUNG</t>
  </si>
  <si>
    <t>thôn</t>
  </si>
  <si>
    <t>Tổng số hộ trên địa bàn xã</t>
  </si>
  <si>
    <t>hộ</t>
  </si>
  <si>
    <t>Tổng số nhân khẩu</t>
  </si>
  <si>
    <t>người</t>
  </si>
  <si>
    <t>Hộ</t>
  </si>
  <si>
    <t>Lập quy hoạch</t>
  </si>
  <si>
    <t>TT</t>
  </si>
  <si>
    <t>Hiện trạng năm thực hiện</t>
  </si>
  <si>
    <t>Dự kiến năm sau</t>
  </si>
  <si>
    <t>Chưa lập</t>
  </si>
  <si>
    <t>Đã lập</t>
  </si>
  <si>
    <t>Đã được phê duyệt</t>
  </si>
  <si>
    <t xml:space="preserve">Xây dựng mới </t>
  </si>
  <si>
    <t xml:space="preserve">Điều chỉnh, bổ sung </t>
  </si>
  <si>
    <t>Xã có quy hoạch chung (không gian tổng thể toàn xã)</t>
  </si>
  <si>
    <t xml:space="preserve">Xã có quy hoạch sử dụng đất và hạ tầng thiết yếu cho phát triển sản xuất nông nghiệp hàng hóa, công nghiệp, tiểu thủ công nghiệp, dịch vụ </t>
  </si>
  <si>
    <t xml:space="preserve">Xã có quy hoạch phát triển hạ tầng kinh tế - xã hội – môi trường </t>
  </si>
  <si>
    <t>Xã có quy hoạch phát triển các khu dân cư mới và chỉnh trang các khu dân cư hiện có trên địa bàn xã</t>
  </si>
  <si>
    <t>II</t>
  </si>
  <si>
    <t>Thực hiện quy hoạch</t>
  </si>
  <si>
    <t>Đã thực hiện</t>
  </si>
  <si>
    <t>Chưa thực hiện</t>
  </si>
  <si>
    <t>Xã đã công bố Quy hoạch chưa?</t>
  </si>
  <si>
    <t>Xã đã cắm mốc chỉ giới các công trình hạ tầng theo quy hoạch chưa?</t>
  </si>
  <si>
    <t>Loại đường</t>
  </si>
  <si>
    <t>Lát gạch</t>
  </si>
  <si>
    <t>Đường trục xã, liên xã</t>
  </si>
  <si>
    <t>Chia theo chiều rộng mặt đường</t>
  </si>
  <si>
    <t>Đường trục thôn</t>
  </si>
  <si>
    <t>Đường ngõ, xóm</t>
  </si>
  <si>
    <t>Đường trục chính nội đồng</t>
  </si>
  <si>
    <t>Số lượng công trình thủy lợi do xã quản lý</t>
  </si>
  <si>
    <t>Công trình</t>
  </si>
  <si>
    <t>Trong đó số trạm bơm</t>
  </si>
  <si>
    <t>Số lượng công trình thủy lợi đang hoạt động</t>
  </si>
  <si>
    <t>Số lượng công trình cần cải tạo, nâng cấp</t>
  </si>
  <si>
    <t xml:space="preserve">Năng lực thiết kế của các công trình thủy lợi </t>
  </si>
  <si>
    <t xml:space="preserve"> - Tưới</t>
  </si>
  <si>
    <t>Ha</t>
  </si>
  <si>
    <t xml:space="preserve"> - Tiêu</t>
  </si>
  <si>
    <t xml:space="preserve"> - Ngăn mặn</t>
  </si>
  <si>
    <t xml:space="preserve"> - Chống lũ</t>
  </si>
  <si>
    <t>Năng lực hiện có của các công trình thủy lợi trong năm</t>
  </si>
  <si>
    <t>Hiện trạng tưới tiêu</t>
  </si>
  <si>
    <t>Diện tích được quy hoạch tưới chủ động</t>
  </si>
  <si>
    <t>Diện tích được tưới chủ động trong năm</t>
  </si>
  <si>
    <t xml:space="preserve">% diện tích </t>
  </si>
  <si>
    <t>Diện tích được quy hoạch tiêu chủ động</t>
  </si>
  <si>
    <t>Diện tích được tiêu chủ động trong năm</t>
  </si>
  <si>
    <t>Cây hàng năm</t>
  </si>
  <si>
    <t>Trong đó: Lúa</t>
  </si>
  <si>
    <t>Cây lâu năm</t>
  </si>
  <si>
    <t>Diện tích nuôi trồng thủy sản</t>
  </si>
  <si>
    <t>Số Km quy hoạch kiên cố hóa</t>
  </si>
  <si>
    <t>Số Km đã được kiên cố hóa</t>
  </si>
  <si>
    <t>Chia ra theo mức độ xây dựng</t>
  </si>
  <si>
    <t>Bê tông</t>
  </si>
  <si>
    <t>Gạch xây</t>
  </si>
  <si>
    <t>Số trạm biến áp</t>
  </si>
  <si>
    <t>trạm</t>
  </si>
  <si>
    <t>km</t>
  </si>
  <si>
    <t>III</t>
  </si>
  <si>
    <t>%</t>
  </si>
  <si>
    <t>Chỉ tiêu</t>
  </si>
  <si>
    <t>ĐVT</t>
  </si>
  <si>
    <t>phòng</t>
  </si>
  <si>
    <t>điểm</t>
  </si>
  <si>
    <t>Chợ</t>
  </si>
  <si>
    <t>Xã</t>
  </si>
  <si>
    <t>Người</t>
  </si>
  <si>
    <t>Trong đó:</t>
  </si>
  <si>
    <t>NƯỚC SINH HOẠT</t>
  </si>
  <si>
    <t>C.Trình</t>
  </si>
  <si>
    <t>IV</t>
  </si>
  <si>
    <t>cơ sở</t>
  </si>
  <si>
    <t>VI</t>
  </si>
  <si>
    <t>HOẠT ĐỘNG PHÁT TRIỂN MÔI TRƯỜNG XANH, SẠCH, ĐẸP</t>
  </si>
  <si>
    <t>Công trình xử lý rác thải của xã</t>
  </si>
  <si>
    <t>NGHĨA TRANG, NGHĨA ĐỊA</t>
  </si>
  <si>
    <t>Số nghĩa trang nhân dân xã</t>
  </si>
  <si>
    <t>N. trang</t>
  </si>
  <si>
    <t>Số nghĩa trang nhân dân đã có quy hoạch</t>
  </si>
  <si>
    <t>Số nghĩa trang nhân dân có quy chế quản lý</t>
  </si>
  <si>
    <t xml:space="preserve">Số Chi bộ trực thuộc Đảng bộ </t>
  </si>
  <si>
    <t>Chi bộ</t>
  </si>
  <si>
    <t>Số Đảng viên</t>
  </si>
  <si>
    <t>Đảng viên</t>
  </si>
  <si>
    <t>Đảng bộ đạt danh hiệu trong sạch vững mạnh</t>
  </si>
  <si>
    <t>Đạt/Chưa đạt</t>
  </si>
  <si>
    <t xml:space="preserve">Số chức danh công chức xã </t>
  </si>
  <si>
    <t>Chức danh</t>
  </si>
  <si>
    <t>Tỷ lệ cán bộ, công chức xã đạt chuẩn</t>
  </si>
  <si>
    <t>UBND xã đạt danh hiệu trong sạch vững mạnh</t>
  </si>
  <si>
    <t>Mặt trận Tổ quốc Việt Nam</t>
  </si>
  <si>
    <t>Cơ sở đạt tiên tiến trở lên</t>
  </si>
  <si>
    <t>Hội Nông dân</t>
  </si>
  <si>
    <t>Hội Phụ nữ</t>
  </si>
  <si>
    <t>Hội Cựu Chiến binh</t>
  </si>
  <si>
    <t>Đoàn Thanh niên Cộng sản Hồ Chí Minh</t>
  </si>
  <si>
    <t>Có/không</t>
  </si>
  <si>
    <t>Tình hình giải quyết các vụ án dân sự, hình sự</t>
  </si>
  <si>
    <t>Số vụ án dân sự</t>
  </si>
  <si>
    <t>Vụ án</t>
  </si>
  <si>
    <t>Số vụ án hình sự</t>
  </si>
  <si>
    <t>Số vụ án dân sự đã giải quyết dứt điểm</t>
  </si>
  <si>
    <t>Số vụ án hình sự đã giải quyết dứt điểm</t>
  </si>
  <si>
    <t>Tình hình giải quyết khiếu kiện</t>
  </si>
  <si>
    <t>Số vụ khiếu kiện</t>
  </si>
  <si>
    <t>Vụ</t>
  </si>
  <si>
    <t>Số vụ đã giải quyết dứt điểm</t>
  </si>
  <si>
    <t>Số vụ chưa giải quyết dứt điểm</t>
  </si>
  <si>
    <t>Số vụ khiếu kiện kéo dài</t>
  </si>
  <si>
    <t>Kiềm chế và giảm thiểu tệ nạn xã hội</t>
  </si>
  <si>
    <t>Số người mắc các tệ nạn xã hội</t>
  </si>
  <si>
    <t>Tỷ lệ mắc tệ nạn xã hội</t>
  </si>
  <si>
    <t>Tổng số thôn, bản</t>
  </si>
  <si>
    <t>Khác</t>
  </si>
  <si>
    <t>Cứng hóa</t>
  </si>
  <si>
    <t>Chưa cứng hóa</t>
  </si>
  <si>
    <t>Tổng công suất</t>
  </si>
  <si>
    <t>Ghi chú</t>
  </si>
  <si>
    <t>Tiêu chí</t>
  </si>
  <si>
    <t>Nội dung</t>
  </si>
  <si>
    <t>Diện tích đất được sử dụng</t>
  </si>
  <si>
    <t>Quy mô xây dựng</t>
  </si>
  <si>
    <t>2.1. Hội trường Văn hóa đa năng</t>
  </si>
  <si>
    <t>chỗ ngồi</t>
  </si>
  <si>
    <t>2.4. Công trình phụ trợ Trung tâm Văn hoá, Thể thao (nhà để xe, khu vệ sinh, vườn hoa)</t>
  </si>
  <si>
    <t>Nhà để xe</t>
  </si>
  <si>
    <t>nhà</t>
  </si>
  <si>
    <t>Khu vệ sinh</t>
  </si>
  <si>
    <t>khu</t>
  </si>
  <si>
    <t>Vườn hoa</t>
  </si>
  <si>
    <t>Trang thiết bị</t>
  </si>
  <si>
    <t>3.1. Hội trường Văn hoá đa năng có đủ: Bàn, ghế, giá, tủ, trang bị âm thanh, ánh sáng, thông gió, đài truyền thanh</t>
  </si>
  <si>
    <t>Bàn, ghế</t>
  </si>
  <si>
    <t>bộ</t>
  </si>
  <si>
    <t>Tủ</t>
  </si>
  <si>
    <t>Trang thiết bị âm thanh</t>
  </si>
  <si>
    <t>Đài truyền thanh</t>
  </si>
  <si>
    <t>Cán bộ</t>
  </si>
  <si>
    <t>4.1. Cán bộ quản lý: có trình độ trung cấp về văn hóa, thể dục thể thao trở lên; được hưởng phụ cấp chuyên trách và bán chuyên trách</t>
  </si>
  <si>
    <t>Kinh phí hoạt động</t>
  </si>
  <si>
    <t>5.1 Đảm bảo kinh phí hoạt động thường xuyên, ổn định hàng năm.</t>
  </si>
  <si>
    <t>triệu đồng</t>
  </si>
  <si>
    <t>Hoạt động văn hóa văn nghệ</t>
  </si>
  <si>
    <t>6.1. Tuyên truyền phục vụ nhiệm vụ chính trị</t>
  </si>
  <si>
    <t>cuộc</t>
  </si>
  <si>
    <t>6.2. Liên hoan, hội diễn văn nghệ quần chúng</t>
  </si>
  <si>
    <t>6.3. Duy trì hoạt động thường xuyên các câu lạc bộ</t>
  </si>
  <si>
    <t>câu lạc bộ</t>
  </si>
  <si>
    <t>6.4. Thư viện, phòng đọc sách, báo</t>
  </si>
  <si>
    <t>6.5. Hoạt động xây dựng gia đình văn hóa, làng văn hóa, nếp sống văn hóa, bảo tồn văn hóa dân tộc</t>
  </si>
  <si>
    <t>6.6. Thu hút nhân dân hưởng thụ và tham gia các hoạt động, sáng tạo văn hóa</t>
  </si>
  <si>
    <t>Tổng số người trên địa bàn</t>
  </si>
  <si>
    <t>Số người hưởng thụ và tham gia các hoạt động, sáng tạo văn hóa</t>
  </si>
  <si>
    <t>Hoạt động thể dục thể thao</t>
  </si>
  <si>
    <t>7.1. Thi đấu thể thao</t>
  </si>
  <si>
    <t>7.2. Thu hút nhân dân tham gia tập luyện thể dục thể thao thường xuyên</t>
  </si>
  <si>
    <t>Số người tham gia tập luyện thường xuyên</t>
  </si>
  <si>
    <t>Hoạt động văn hóa, vui chơi giải trí cho trẻ em</t>
  </si>
  <si>
    <t>Thu hút trẻ em trên địa bàn dân cư tham gia hoạt động văn hóa, thể thao</t>
  </si>
  <si>
    <t>Chỉ đạo hướng dẫn nghiệp vụ</t>
  </si>
  <si>
    <t>Chỉ đạo, hướng dẫn Nhà văn hóa, khu thể thao thôn (làng, ấp, bản) hiện có</t>
  </si>
  <si>
    <t>Có/Không</t>
  </si>
  <si>
    <t>Đạt/Không</t>
  </si>
  <si>
    <t>Tốt/Không</t>
  </si>
  <si>
    <t>Xã có tổ hợp tác hoặc HTX môi trường/thuê thu gom rác thải</t>
  </si>
  <si>
    <t>2.3. Sân bóng đá (không tính diện tích các sân khác)</t>
  </si>
  <si>
    <t>Diện tích đất qui hoạch khu Trung tâm Văn hóa - Thể thao xã (không tính diện tích sân vận động)</t>
  </si>
  <si>
    <t xml:space="preserve"> -  Hồ, đập</t>
  </si>
  <si>
    <t xml:space="preserve"> - Trạm bơm</t>
  </si>
  <si>
    <t>CT</t>
  </si>
  <si>
    <t>Đường dây trung áp</t>
  </si>
  <si>
    <t xml:space="preserve">Đường dây hạ áp </t>
  </si>
  <si>
    <t>Số chợ theo quy hoạch</t>
  </si>
  <si>
    <t>Số chợ hiện có</t>
  </si>
  <si>
    <t xml:space="preserve">Số điểm cung cấp được 02 dịch vụ bưu chính và viễn thông </t>
  </si>
  <si>
    <t>Tổng số nhà ở trên địa bàn xã</t>
  </si>
  <si>
    <t>Tên hợp tác xã, tổ hợp tác</t>
  </si>
  <si>
    <t>Ngành nghề chính</t>
  </si>
  <si>
    <t xml:space="preserve">Số thành viên </t>
  </si>
  <si>
    <t>Số năm kinh doanh có lãi</t>
  </si>
  <si>
    <t>Số hộ dùng nước hợp vệ sinh</t>
  </si>
  <si>
    <t>Số hộ dùng nước sạch</t>
  </si>
  <si>
    <t>CƠ SỞ SẢN XUẤT, KINH DOANH</t>
  </si>
  <si>
    <t>Số cơ sở sản xuất kinh doanh</t>
  </si>
  <si>
    <t>Số cơ sở cam kết đạt chuẩn về môi trường</t>
  </si>
  <si>
    <t>Số cơ sở vi phạm quy định về tiêu chuẩn môi trường (trong năm)</t>
  </si>
  <si>
    <t>Chuồng trại chăn nuôi hợp vệ sinh</t>
  </si>
  <si>
    <t>đạt/không</t>
  </si>
  <si>
    <t>NHÀ Ở</t>
  </si>
  <si>
    <t>CHỢ</t>
  </si>
  <si>
    <t>V</t>
  </si>
  <si>
    <t>Y TẾ</t>
  </si>
  <si>
    <t>2.1</t>
  </si>
  <si>
    <t>BƯU ĐIỆN</t>
  </si>
  <si>
    <t>Số hộ nghèo</t>
  </si>
  <si>
    <t>2.2</t>
  </si>
  <si>
    <t>Số lượng nhà tạm, nhà dột nát</t>
  </si>
  <si>
    <t>Số lượng nhà đạt chuẩn theo Bộ Xây dựng</t>
  </si>
  <si>
    <t>Tỷ lệ nhà tạm, nhà dột nát/tổng số nhà</t>
  </si>
  <si>
    <t>Tỷ lệ hộ nghèo/tổng số hộ</t>
  </si>
  <si>
    <t>Số hộ cận nghèo</t>
  </si>
  <si>
    <t>Tỷ lệ hộ cận nghèo/tổng số hộ</t>
  </si>
  <si>
    <t>Số người do Ngân sách nhà nước hoặc BHXH đóng</t>
  </si>
  <si>
    <t>Số người dân đóng BHYT tự nguyện</t>
  </si>
  <si>
    <t>Tỷ lệ người dân đóng BHYT tự nguyện/tổng số dân</t>
  </si>
  <si>
    <t>Tỷ lệ người do Ngân sách nhà nước hoặc BHXH đóng/tổng số dân</t>
  </si>
  <si>
    <t>Số người dân tham gia các hình thức bảo hiểm y tế</t>
  </si>
  <si>
    <t>Tỷ lệ người dân tham gia các hình thức bảo hiểm y tế/tổng số dân</t>
  </si>
  <si>
    <t>Quy chế quản lý quy hoạch đã được cấp có thẩm quyền phê duyệt chưa?</t>
  </si>
  <si>
    <t>Chia theo chiều rộng nền đường</t>
  </si>
  <si>
    <t xml:space="preserve"> + Trên 4 m</t>
  </si>
  <si>
    <t xml:space="preserve"> + Dưới 4 m</t>
  </si>
  <si>
    <t xml:space="preserve"> + Trên 3 m</t>
  </si>
  <si>
    <t xml:space="preserve"> + Dưới 3 m</t>
  </si>
  <si>
    <t xml:space="preserve">Tổng số </t>
  </si>
  <si>
    <t>ĐIỆN</t>
  </si>
  <si>
    <t>CÔNG TRÌNH VỆ SINH</t>
  </si>
  <si>
    <t>Số hộ có nhà tiêu</t>
  </si>
  <si>
    <t>Tr.đó: đạt tiêu chuẩn vệ sinh</t>
  </si>
  <si>
    <t>Số hộ có nhà tắm</t>
  </si>
  <si>
    <t>Số hộ có Bể nước, nước máy</t>
  </si>
  <si>
    <t>Tỷ lệ số hộ có 3 công trình đạt TC vệ sinh</t>
  </si>
  <si>
    <t>Tỷ lệ  hộ dùng nước hợp vệ sinh/tổng số hộ</t>
  </si>
  <si>
    <t>Tỷ lệ hộ dùng nước sạch/tổng số hộ</t>
  </si>
  <si>
    <t>Số hộ dùng điện thường xuyên an toàn từ các nguồn</t>
  </si>
  <si>
    <t>Tỉ lệ hộ dùng điện thường xuyên an toàn từ các nguồn</t>
  </si>
  <si>
    <t>Hệ thống cầu cảng</t>
  </si>
  <si>
    <t>Phương tiện chuyên dụng phục vụ y tế (dành cho xã đảo)</t>
  </si>
  <si>
    <t>có/không</t>
  </si>
  <si>
    <t>Đạt</t>
  </si>
  <si>
    <t>Có</t>
  </si>
  <si>
    <t xml:space="preserve"> - Số cầu cảng, bến cảng hiện có</t>
  </si>
  <si>
    <t xml:space="preserve"> - Số cầu cảng, bến cảng được kiên cố hóa</t>
  </si>
  <si>
    <t>Số hộ sử dụng</t>
  </si>
  <si>
    <t>máy</t>
  </si>
  <si>
    <t>KVA</t>
  </si>
  <si>
    <t>Số trạm pin năng lượng mặt trời</t>
  </si>
  <si>
    <t>Chợ cụm xã</t>
  </si>
  <si>
    <t>Trong đó: Số chợ đạt chuẩn</t>
  </si>
  <si>
    <t>Trong đó: Số chợ đạt chuẩn theo TCVN 9211:2012</t>
  </si>
  <si>
    <t>Xã được công nhận đạt Bộ tiêu chí quốc gia về y tế</t>
  </si>
  <si>
    <t>Y tế xã đạt chuẩn quốc gia</t>
  </si>
  <si>
    <t>Số phòng làm việc của Trạm Y tế</t>
  </si>
  <si>
    <t>Số cán bộ của Trạm Y tế</t>
  </si>
  <si>
    <t xml:space="preserve"> - Bác sỹ</t>
  </si>
  <si>
    <t xml:space="preserve"> - Y sỹ</t>
  </si>
  <si>
    <t xml:space="preserve"> - Nữ hộ sinh</t>
  </si>
  <si>
    <t xml:space="preserve"> - Điều dưỡng</t>
  </si>
  <si>
    <t xml:space="preserve"> - Dược sỹ</t>
  </si>
  <si>
    <t>6.1</t>
  </si>
  <si>
    <t>6.2</t>
  </si>
  <si>
    <t>6.3</t>
  </si>
  <si>
    <t>giường</t>
  </si>
  <si>
    <t xml:space="preserve"> - Điểm Bưu điện Văn hóa xã</t>
  </si>
  <si>
    <t xml:space="preserve"> - Bưu cục</t>
  </si>
  <si>
    <t>Số hộ có sử dụng Internet</t>
  </si>
  <si>
    <t>Số thôn có phủ sóng hoặc mạng để truy cập Internet</t>
  </si>
  <si>
    <t xml:space="preserve"> + Từ trên 3 m</t>
  </si>
  <si>
    <t xml:space="preserve"> + Từ trên 2,4 đến 3 m</t>
  </si>
  <si>
    <t xml:space="preserve"> + Dưới 2,4 m</t>
  </si>
  <si>
    <t xml:space="preserve"> + Từ trên 1,6 - 2 m</t>
  </si>
  <si>
    <t xml:space="preserve"> + Dưới 1,6 m</t>
  </si>
  <si>
    <t xml:space="preserve"> + Từ trên 2 m</t>
  </si>
  <si>
    <t>có</t>
  </si>
  <si>
    <t xml:space="preserve">Đạt </t>
  </si>
  <si>
    <t>Tuyến từ khu nhà ông điền đến về khu nhà ông lam</t>
  </si>
  <si>
    <t>Tuyến kênh từ nhà ông Hồ đến Công ty Hoàng Phúc</t>
  </si>
  <si>
    <t>Tuyến từ nhà bà Hộ đến nghĩa địa</t>
  </si>
  <si>
    <t>Tuyến từ nhà ông Hồ đến nhà ông Vinh</t>
  </si>
  <si>
    <t>Tuyến từ Chùa lủi đi thoi phi</t>
  </si>
  <si>
    <t>Tuyến từ nhà ông Hùng đến khu chùa lủi</t>
  </si>
  <si>
    <t>Tuyến kênh cánh đồng ông Lựa</t>
  </si>
  <si>
    <t>Tuyến kênh từ nhà Văn hóa xuống miếu</t>
  </si>
  <si>
    <t>Tuyến kênh từ nhà Bùi Lồng đến Giểng Đặng</t>
  </si>
  <si>
    <t>Tuyến kênh từ nhà ông Ngoạn đến Bùi Chính</t>
  </si>
  <si>
    <t>Tuyến kênh từ nhà ông Nhân quỳnh đến gành đường</t>
  </si>
  <si>
    <t xml:space="preserve">Tuyến kênh từ trước nhà ông Hà </t>
  </si>
  <si>
    <t>Tuyến kênh trước nhà ông Tưởng</t>
  </si>
  <si>
    <t>Tuyến kênh từ nhà Hà giai đến nhà ông Tụy</t>
  </si>
  <si>
    <t>Tuyến trước nhà Bùi Cưu đến Công ty Viễn đông</t>
  </si>
  <si>
    <t>Tuyến trước nhà vi lan đến nhà ông Thốn</t>
  </si>
  <si>
    <t>Tuyến kênh trước nhà ông Tầm đến đầm Hà Dư</t>
  </si>
  <si>
    <t>Tuyến kênh từ ngã ba đến đầm ông Thị</t>
  </si>
  <si>
    <t>4.2. Cán bộ nghiệp vụ có chuyên môn về văn hóa, thể thao; được hợp đồng và hưởng thù lao bán chuyên trách</t>
  </si>
  <si>
    <t>Tỷ lệ lao động phi nông nghiệp/tổng lao động</t>
  </si>
  <si>
    <t>Số lao động phi nông nghiệp</t>
  </si>
  <si>
    <t>Tỷ lệ lao động nông nghiệp/tổng lao động</t>
  </si>
  <si>
    <t>Số lao động nông nghiệp</t>
  </si>
  <si>
    <t>Tổng lao động trong độ tuổi</t>
  </si>
  <si>
    <t>Lao động</t>
  </si>
  <si>
    <t>Tỷ lệ học sinh tốt nghiệp THCS được tiếp tục học bậc trung học</t>
  </si>
  <si>
    <t>Số học sinh tốt nghiệp THCS của xã đã và đang được tiếp tục học bậc trung học tại các trường phổ thông trung học, bổ túc văn hoá và học nghề</t>
  </si>
  <si>
    <t>Tỷ lệ thanh, thiếu niên từ 15 đến hết 18 tuổi có bằng tốt nghiệp trung học cơ sở/tổng số người trong độ tuổi</t>
  </si>
  <si>
    <t>Tỷ lệ học sinh tốt nghiệp THCS/tổng số học sinh thi tốt nghiệp</t>
  </si>
  <si>
    <t>Số học sinh tốt nghiệp THCS</t>
  </si>
  <si>
    <t>Tỷ lệ /tổng số người trong độ tuổi</t>
  </si>
  <si>
    <t>Số học sinh tiếp tục học nghề (14-18 tuổi)</t>
  </si>
  <si>
    <t>Tỷ lệ /Tổng số người trong độ tuổi</t>
  </si>
  <si>
    <t>Số học sinh đi học THPT, bổ túc (14-18 tuổi)</t>
  </si>
  <si>
    <t>Tỷ lệ /tổng số trẻ trong độ tuổi</t>
  </si>
  <si>
    <t>Số trẻ em trong độ tuổi được đi học THCS</t>
  </si>
  <si>
    <t>Số trẻ em trong độ tuổi được đi học tiểu học (từ 6 - 11 tuổi)</t>
  </si>
  <si>
    <t>1.1.</t>
  </si>
  <si>
    <t>Trong đó</t>
  </si>
  <si>
    <t>Tỷ lệ trẻ em trong độ tuổi được đi học</t>
  </si>
  <si>
    <t>Số trẻ em trong độ tuổi được đi học (từ 6 - 14 tuổi)</t>
  </si>
  <si>
    <t>Phổ cập giáo dục, dạy nghề</t>
  </si>
  <si>
    <t>Trong đó: Số người đang đi học (Học sinh, sinh viên đi học dài hạn)</t>
  </si>
  <si>
    <t>Số trẻ em từ 6 - 14 tuổi</t>
  </si>
  <si>
    <t>Số trẻ em dưới 6 tuổi</t>
  </si>
  <si>
    <t xml:space="preserve">Tổng số nhân khẩu của xã </t>
  </si>
  <si>
    <t>Nhân khẩu, lao động của xã</t>
  </si>
  <si>
    <t>Tốt</t>
  </si>
  <si>
    <t>Tổ hợp tác Nuôi trồng thủy sản thôn Đông xã Vạn Ninh</t>
  </si>
  <si>
    <t>NTTS</t>
  </si>
  <si>
    <t>Thành lập từ 2012</t>
  </si>
  <si>
    <t>Họp tác xã Quang Ngọc</t>
  </si>
  <si>
    <t>Tổ hợp tác Nuôi trồng thủy sản thôn Nam xã Vạn Ninh</t>
  </si>
  <si>
    <t>Cánh đồng thoi phi</t>
  </si>
  <si>
    <t>Cánh đồng chùa lũi</t>
  </si>
  <si>
    <t>Cánh đồng thôn Trung</t>
  </si>
  <si>
    <t>Cánh đồng thôn Nam</t>
  </si>
  <si>
    <t>Tổng</t>
  </si>
  <si>
    <t>Thành lập năm 2016</t>
  </si>
  <si>
    <t>4</t>
  </si>
  <si>
    <t>Đất phi nông nghiệp</t>
  </si>
  <si>
    <t>9/9 xã</t>
  </si>
  <si>
    <t>Số máy phát điện Diêzel</t>
  </si>
  <si>
    <t>BIỂU 2: LẬP QUY HOẠCH VÀ THỰC HIỆN QUY HOẠCH</t>
  </si>
  <si>
    <t>không</t>
  </si>
  <si>
    <t>BIỂU 3: HIỆN TRẠNG HỆ THỐNG ĐƯỜNG GIAO THÔNG</t>
  </si>
  <si>
    <t>Diện tích được tưới chủ động trong năm/Diện tích gieo trồng</t>
  </si>
  <si>
    <t>Diện tích được tiêu chủ động trong năm/Diện tích gieo trồng</t>
  </si>
  <si>
    <t>XÃ VẠN NINH</t>
  </si>
  <si>
    <t>B</t>
  </si>
  <si>
    <t>Tuyến mương thôn 1</t>
  </si>
  <si>
    <t>Tuyến mương thôn 2</t>
  </si>
  <si>
    <t>Tuyến mương thôn 3</t>
  </si>
  <si>
    <t>Tuyến mương thôn 4</t>
  </si>
  <si>
    <t>Tuyến mương thôn 5</t>
  </si>
  <si>
    <t>Tuyến mương thôn 6</t>
  </si>
  <si>
    <t>Tuyến mương thôn 8</t>
  </si>
  <si>
    <t>Tuyến mương thôn 9</t>
  </si>
  <si>
    <t>Tuyến mương thôn 10a</t>
  </si>
  <si>
    <t>Tuyến mương thôn 10b</t>
  </si>
  <si>
    <t>Tuyến mương thôn 11</t>
  </si>
  <si>
    <t>Tuyến mương thôn 12</t>
  </si>
  <si>
    <t>Tuyến mương thôn 13</t>
  </si>
  <si>
    <t>A</t>
  </si>
  <si>
    <t>XÃ HẢI XUÂN</t>
  </si>
  <si>
    <t>C</t>
  </si>
  <si>
    <t>XÃ HẢI ĐÔNG</t>
  </si>
  <si>
    <t>D</t>
  </si>
  <si>
    <t>XÃ HẢI TIẾN</t>
  </si>
  <si>
    <t>VII</t>
  </si>
  <si>
    <t>VIII</t>
  </si>
  <si>
    <t>IX</t>
  </si>
  <si>
    <t>Tỷ lệ %</t>
  </si>
  <si>
    <t>XÃ QUẢNG NGHĨA</t>
  </si>
  <si>
    <t>XÃ BẮC SƠN</t>
  </si>
  <si>
    <t>E</t>
  </si>
  <si>
    <t>Tuyến từ Lục Phủ đến Cao Lan</t>
  </si>
  <si>
    <t>Tuyến từ  Nhà ông Lỷ Sơn ra UBND xã cũ</t>
  </si>
  <si>
    <t>Tuyến từ  hồ Phình Hồ đến nhà ông Phương</t>
  </si>
  <si>
    <t>Tuyến từ giữa cánh đồng thôn Phình Hồ toả ra các nơi</t>
  </si>
  <si>
    <t>Tuyến từ Phình Hồ đến cánh đồng</t>
  </si>
  <si>
    <t>Tuyến từ đập Thán Phún đến chân đồi nhà bà Tôn</t>
  </si>
  <si>
    <t>XÃ HẢI SƠN</t>
  </si>
  <si>
    <t>Tuyến từ Đồn Pò Hèn đến cây Vải</t>
  </si>
  <si>
    <t>Từ sau trạm chờ xuất hàng Lục Chắn đến đồi sắn</t>
  </si>
  <si>
    <t>Tuyến Lục Chắn (từ nhà ông Thành đến nhà ông Tài)</t>
  </si>
  <si>
    <t>XÃ VĨNH THỰC</t>
  </si>
  <si>
    <t>Tuyến kênh mương từ đập Khe Nà ra cánh đồng ruộng cọ</t>
  </si>
  <si>
    <t>Tuyến kênh mương từ hồ Gốc Khế ra cánh đồng ruộng cọ</t>
  </si>
  <si>
    <t>Tuyến kênh mương từ Đầm Buôn ra ngòi cống muối</t>
  </si>
  <si>
    <t>Tuyến kênh mương từ trước nhà bà Sập ra ngòi cống muối</t>
  </si>
  <si>
    <t>Tuyến mương từ đập Giếng Cối ra cánh đồng trước nhà ông Hậu Viễn</t>
  </si>
  <si>
    <t>Tuyến kênh mương nội đồng từ đập nước Vạn Gia đến trước nhà ông Vũ Văn Hùng</t>
  </si>
  <si>
    <t>Tuyến kênh mương từ nhà ông Mã Gioọng đến nhà ông Lê Tăng</t>
  </si>
  <si>
    <t>Tuyến kênh mương từ đập Khe Năng đến chân đập Vạn Gia</t>
  </si>
  <si>
    <t>Tuyến kênh mương từ Đầm Ván ra cánh đồng ông Thắc</t>
  </si>
  <si>
    <t>Tuyến kênh mương từ nhà ông Hoàng Tấn ra ngòi Cống Muối</t>
  </si>
  <si>
    <t>XÃ VĨNH TRUNG</t>
  </si>
  <si>
    <t>Mương từ hồ Cái Vĩnh</t>
  </si>
  <si>
    <t>Mương từ Hồ Khe Cầu</t>
  </si>
  <si>
    <t>Mương từ Hồ thôn 4</t>
  </si>
  <si>
    <t>F</t>
  </si>
  <si>
    <t>G</t>
  </si>
  <si>
    <t>H</t>
  </si>
  <si>
    <t>%/tổng số dân</t>
  </si>
  <si>
    <t>BIỂU 7: HIỆN TRẠNG DÂN SỐ, HỌC SINH, LAO ĐỘNG CỦA CÁC XÃ</t>
  </si>
  <si>
    <r>
      <t>Số người trong độ tuổi lao động của xã</t>
    </r>
    <r>
      <rPr>
        <i/>
        <sz val="13"/>
        <rFont val="Times New Roman"/>
        <family val="1"/>
      </rPr>
      <t xml:space="preserve"> (Nam từ 15-59; nữ từ 15-54)</t>
    </r>
  </si>
  <si>
    <r>
      <t>Số lao động trong độ tuổi của xã tham gia thường xuyên vào các ngành</t>
    </r>
    <r>
      <rPr>
        <i/>
        <sz val="13"/>
        <rFont val="Times New Roman"/>
        <family val="1"/>
      </rPr>
      <t xml:space="preserve"> (không tính học sinh, sinh viên đi học dài hạn)</t>
    </r>
  </si>
  <si>
    <t>BIỂU 8: CHI TIẾT TIÊU CHÍ HÌNH THỨC TỔ CHỨC SẢN XUẤT</t>
  </si>
  <si>
    <t>Hơp tác xã dịch vụ tổng hợp Hưởng Liên</t>
  </si>
  <si>
    <t>Chăn nuôi, trồng trọt, nhà hàng...</t>
  </si>
  <si>
    <t>2016 - 2018</t>
  </si>
  <si>
    <t>Tổ hợp tác Khai thác thuỷ sản Hải Xuân</t>
  </si>
  <si>
    <t xml:space="preserve">Khai thác và đánh bắt thuỷ sản </t>
  </si>
  <si>
    <t>Tổ hợp tác Nuôi trồng thuỷ sản thôn 13 - Hải Xuân</t>
  </si>
  <si>
    <t>Nuôi trồng thuỷ sản (tôm, cua)</t>
  </si>
  <si>
    <t>2017 - 2018</t>
  </si>
  <si>
    <t>Tổ hợp tác thu gom rác thải</t>
  </si>
  <si>
    <t>Thu gom rác thải</t>
  </si>
  <si>
    <t>Hưởng tiền công</t>
  </si>
  <si>
    <t>Xã Hải Xuân</t>
  </si>
  <si>
    <t>Xã Vạn Ninh</t>
  </si>
  <si>
    <t>Hợp tác xã NTTS Đoàn kết</t>
  </si>
  <si>
    <t>NTTS Biển</t>
  </si>
  <si>
    <t>Thành lập từ
 tháng 7/2015</t>
  </si>
  <si>
    <t>Hợp tác xã thủy sản Thăng Bình</t>
  </si>
  <si>
    <t>Thành lập từ
 tháng 5/2015</t>
  </si>
  <si>
    <t>Hợp tác xã thực phẩm an toàn feshfood</t>
  </si>
  <si>
    <t>Thành lập năm 2018</t>
  </si>
  <si>
    <t>Xã Hải Đông</t>
  </si>
  <si>
    <t>Thành lập 10/2013</t>
  </si>
  <si>
    <t>Hợp tác xã Dịch vụ Hải Tiến</t>
  </si>
  <si>
    <t>Kinh doanh vật tư nông nghiệp</t>
  </si>
  <si>
    <t>Xã Hải Tiến</t>
  </si>
  <si>
    <t>Tổ hợp tác môi trường</t>
  </si>
  <si>
    <t>Nuôi lợn Móng Cái</t>
  </si>
  <si>
    <t>Xã Quảng Nghĩa</t>
  </si>
  <si>
    <t>Xã Bắc Sơn</t>
  </si>
  <si>
    <t>Chăn nuôi lợn Móng Cái thương phẩm</t>
  </si>
  <si>
    <t>Tổ hợp tác trồng và khai thác keo thôn Lục Phủ</t>
  </si>
  <si>
    <t>Trồng và khai thác keo</t>
  </si>
  <si>
    <t>Thành lập từ 2018</t>
  </si>
  <si>
    <t>Tổ hợp tác trồng và khai thác keo thôn Phình Hồ</t>
  </si>
  <si>
    <t>Tổ hợp tác trồng và khai thác keo thôn Pẹc Nả</t>
  </si>
  <si>
    <t>Tổ hợp tác trồng và khai thác keo thôn Thán Phún</t>
  </si>
  <si>
    <t xml:space="preserve">Tổ hợp tác nuôi lợn Móng Cái thương phẩm </t>
  </si>
  <si>
    <t>Hợp tác xã Dịch vụ tổng hợp Hải Sơn</t>
  </si>
  <si>
    <t xml:space="preserve">Dịch vụ tổng hợp; bốc xếp hàng hóa; dịch vụ phát triển kinh tế lâm - nông nghiệp </t>
  </si>
  <si>
    <t>Hợp tác xã Dịch vụ vệ sinh môi trường</t>
  </si>
  <si>
    <t>Thu gom vận chuyển và xử lý rác thải</t>
  </si>
  <si>
    <t>Xã Hải Sơn</t>
  </si>
  <si>
    <t>Xã Vĩnh Thực</t>
  </si>
  <si>
    <t>Thu mua hải sản, vận tải hành khách. Chế biến sứa, khai thác sái sùng…</t>
  </si>
  <si>
    <t>Tổ sản xuất chế biến Sứa</t>
  </si>
  <si>
    <t>Chế biến Sứa</t>
  </si>
  <si>
    <t>Tổ sản xuất Khai thác Sá Sùng</t>
  </si>
  <si>
    <t>Khai thác Sá Sùng</t>
  </si>
  <si>
    <t>Tổ khai thác nông hải sản</t>
  </si>
  <si>
    <t>khai thác nông hải sản</t>
  </si>
  <si>
    <t>Xã Vĩnh Trung</t>
  </si>
  <si>
    <t>Hợp tác xã dịch vụ tổng hợp Vĩnh Trung</t>
  </si>
  <si>
    <t>Sản phẩm nông nghiệp</t>
  </si>
  <si>
    <t>Tổ hợp tác Khai thác và chế biến Sá Sùng</t>
  </si>
  <si>
    <t>Tổ hợp tác khai thác và chế biến Sứa</t>
  </si>
  <si>
    <t>HỢP TÁC XÃ</t>
  </si>
  <si>
    <t>TỔ HỢP TÁC</t>
  </si>
  <si>
    <t>Hợp tác xã dịch vụ tổng hợp Vĩnh Thực</t>
  </si>
  <si>
    <t>Tổ hợp tác Nuôi trồng thủy sản Thôn 9</t>
  </si>
  <si>
    <t>Tổ hợp tác Nuôi trồng thủy sản Thôn 3</t>
  </si>
  <si>
    <t>Tổ hợp tác Nuôi trồng thủy sản Thôn 5</t>
  </si>
  <si>
    <t>Tổ hợp tác Chăn nuôi lợn Móng Cái</t>
  </si>
  <si>
    <t>Hợp tác xã Phúc An</t>
  </si>
  <si>
    <t xml:space="preserve">BIỂU 9: CHI TIẾT TIÊU CHÍ MÔI TRƯỜNG </t>
  </si>
  <si>
    <t>BIỂU 10: HỆ THỐNG CHÍNH TRỊ VÀ HIỆU QUẢ HOẠT ĐỘNG</t>
  </si>
  <si>
    <t>2.3</t>
  </si>
  <si>
    <t>2.4</t>
  </si>
  <si>
    <t>3.1</t>
  </si>
  <si>
    <t>3.2</t>
  </si>
  <si>
    <t>3.3</t>
  </si>
  <si>
    <t>3.4</t>
  </si>
  <si>
    <t>4.1</t>
  </si>
  <si>
    <t>4.2</t>
  </si>
  <si>
    <t>Hải Xuân: 2; Vạn Ninh: 5; Hải Đông: 0; Hải Tiến: 5; Quảng Nghĩa: 0; Bắc Sơn: 0; Hải Sơn: 0; Vĩnh Thực: 0; Vĩnh Trung: 0</t>
  </si>
  <si>
    <t>Hải Xuân: 1; Vạn Ninh: 3; Hải Đông: 0; Hải Tiến: 4; Quảng Nghĩa: 0; Bắc Sơn: 0; Hải Sơn: 0; Vĩnh Thực: 0; Vĩnh Trung: 4</t>
  </si>
  <si>
    <t>Hải Xuân: 0;  Vạn Ninh: 0;  Hải Đông: 0; Hải Tiến: 0; Quảng Nghĩa: 0; Bắc Sơn: 0; Hải Sơn: 0; Vĩnh Thực: 0; Vĩnh Trung: 0</t>
  </si>
  <si>
    <t>Hải Xuân: 1; Vạn Ninh: 1; Hải Đông: 1; Hải Tiến: 1; Quảng Nghĩa: 1; Bắc Sơn: 1; Hải Sơn: 1; Vĩnh Thực: 1; Vĩnh Trung: 1</t>
  </si>
  <si>
    <t>Nhựa,
bê tông</t>
  </si>
  <si>
    <t>BIỂU 4B: CHI TIẾT TIÊU CHÍ THỦY LỢI DIỆN TÍCH ĐƯỢC TƯỚI TIÊU</t>
  </si>
  <si>
    <t>BIỂU 4A: CHI TIẾT TIÊU CHÍ THỦY LỢI
HIỆN TRẠNG HỆ THỐNG CÔNG TRÌNH THỦY LỢI DO XÃ QUẢN LÝ</t>
  </si>
  <si>
    <t>BIỂU 4C: CHI TIẾT TIÊU CHÍ THỦY LỢI
HIỆN TRẠNG HỆ THỐNG KÊNH MƯƠNG CẤP 3 TRÊN ĐỊA BÀN DO CÁC XÃ QUẢN LÝ</t>
  </si>
  <si>
    <t>Đơn vị tính: Km</t>
  </si>
  <si>
    <t xml:space="preserve">BIỂU 5: CHI TIẾT TIÊU CHÍ CƠ SỞ VẬT CHẤT VĂN HÓA TRUNG TÂM VĂN HÓA - THỂ THAO XÃ                                  </t>
  </si>
  <si>
    <t>Tổ dịch vụ bốc xếp hàng hóa</t>
  </si>
  <si>
    <t>Bốc xếp vận chuyển hàng hóa</t>
  </si>
  <si>
    <t>Tổ dịch vụ phát triển kinh tế nông nghiệp</t>
  </si>
  <si>
    <t>Sản xuất nông sản (lạc, ngô)</t>
  </si>
  <si>
    <t xml:space="preserve">Tổ dịch vụ thu gom xử lý rác thải sinh hoạt </t>
  </si>
  <si>
    <t>Thu gom xử lý rác</t>
  </si>
  <si>
    <t>ĐẢNG BỘ XÃ</t>
  </si>
  <si>
    <t>HỆ THỐNG CHÍNH QUYỀN</t>
  </si>
  <si>
    <t>CÁC TỔ CHỨC CHÍNH TRỊ XÃ HỘI</t>
  </si>
  <si>
    <t>Hợp tác xã Nông nghiệp dịch vụ Hải Nghĩa</t>
  </si>
  <si>
    <t>Ban quản trị 03 thành viên</t>
  </si>
  <si>
    <t>Hợp tác xã Nông nghiệp Hữu cơ An Lộc</t>
  </si>
  <si>
    <t>Hợp tác xã thủy sản Tiến Thành</t>
  </si>
  <si>
    <t>Khai thủy sản biển, nội địa. Nuôi trồng thủy sản biển, nội địa. Sản xuất giống thủy sản. Chế biến, bảo quản sản phẩm từ thủy sản.</t>
  </si>
  <si>
    <t>Chưa hoạt động</t>
  </si>
  <si>
    <t>Tổ hợp tác trồng Cam ngọt</t>
  </si>
  <si>
    <t>Trồng cam</t>
  </si>
  <si>
    <t>Tổ thu gom rác thải</t>
  </si>
  <si>
    <t>Thu gom rác</t>
  </si>
  <si>
    <t>Hải Xuân: 10.259; Vạn Ninh: 7.255; Hải Đông: 7.323; Hải Tiến: 5.989; Quảng Nghĩa: 3.758; Bắc Sơn: 1.699; Hải Sơn: 1.598; Vĩnh Thực: 3.097; Vĩnh Trung: 1.685</t>
  </si>
  <si>
    <t>Hải Xuân: 1,7; Vạn Ninh: 0,5; Hải Đông: 1,4; Hải Tiến: 3,7; Quảng Nghĩa: 19,7; Bắc Sơn: 20,3; Hải Sơn: 18; Vĩnh Thực: 7,4; Vĩnh Trung: 2,35</t>
  </si>
  <si>
    <t>Hải Xuân: 35; Vạn Ninh: 87; Hải Đông: 26; Hải Tiến: 57; Quảng Nghĩa: 172; Bắc Sơn: 65; Hải Sơn: 59; Vĩnh Thực: 53; Vĩnh Trung: 10</t>
  </si>
  <si>
    <t>Hải Xuân: 13; Vạn Ninh: 5; Hải Đông: 10; Hải Tiến: 9; Quảng Nghĩa: 5; Bắc Sơn: 4; Hải Sơn: 3; Vĩnh Thực: 3; Vĩnh Trung: 4</t>
  </si>
  <si>
    <t>Hải Xuân: 1; Vạn Ninh: 0; Hải Đông: 1; Hải Tiến: 0; Quảng Nghĩa: 1; Bắc Sơn: 0; Hải Sơn: 1; Vĩnh Thực: 0; Vĩnh Trung: 1</t>
  </si>
  <si>
    <t>Hải Xuân: 1; Vạn Ninh: 1; Hải Đông: 1; Hải Tiến: 1; Quảng Nghĩa: 1; Bắc Sơn: 1; Hải Sơn: 0; Vĩnh Thực: 1; Vĩnh Trung: 1</t>
  </si>
  <si>
    <t>Hải Xuân: 4.729; Vạn Ninh: 3.301; Hải Đông: 5.354; Hải Tiến: 3.980; Quảng Nghĩa: 51; Bắc Sơn: 27; Hải Sơn: 173; Vĩnh Thực: 0; Vĩnh Trung: 0</t>
  </si>
  <si>
    <t>Hải Xuân: 46,1; Vạn Ninh: 48,1; Hải Đông: 73,1; Hải Tiến: 66,5; Quảng Nghĩa: 1,36; Bắc Sơn: 1,6; Hải Sơn: 10,8; Vĩnh Thực: 0; Vĩnh Trung: 0</t>
  </si>
  <si>
    <t>Hải Xuân: 8.180; Vạn Ninh: 4.440; Hải Đông: 4.360; Hải Tiến: 1.950; Quảng Nghĩa: 2.393; Bắc Sơn: 1.850; Hải Sơn: 2.250; Vĩnh Thực: 1.315; Vĩnh Trung: 1.025</t>
  </si>
  <si>
    <t>Hải Xuân: 26; Vạn Ninh: 15; Hải Đông: 15; Hải Tiến: 15; Quảng Nghĩa: 11; Bắc Sơn: 11; Hải Sơn: 5; Vĩnh Thực: 8; Vĩnh Trung: 8</t>
  </si>
  <si>
    <t>Hải Xuân: 12,18; Vạn Ninh: 15,8; Hải Đông: 17,1; Hải Tiến: 7,5; Quảng Nghĩa: 0; Bắc Sơn: 39,2; Hải Sơn: 13; Vĩnh Thực: 13,6; Vĩnh Trung: 9,5</t>
  </si>
  <si>
    <t>Hải Xuân: 180; Vạn Ninh: 200; Hải Đông: 150; Hải Tiến: 200; Quảng Nghĩa: 120; Bắc Sơn: 180; Hải Sơn: 70; Vĩnh Thực: 150; Vĩnh Trung: 200</t>
  </si>
  <si>
    <t>Hải Xuân: 1;  Vạn Ninh: 1; Hải Đông: 1; Hải Tiến: 1; Quảng Nghĩa: 1; Bắc Sơn: 1; Hải Sơn: 1; Vĩnh Thực: 1; Vĩnh Trung: 2</t>
  </si>
  <si>
    <t>Hải Xuân: 4.000;  Vạn Ninh: 6.000; Hải Đông: 5400; Hải Tiến: 5.525; Quảng Nghĩa: 1.500; Bắc Sơn: 4.000; Hải Sơn: 5.000; Vĩnh Thực: 6.000; Vĩnh Trung: 6.000</t>
  </si>
  <si>
    <t>Hải Xuân: 1; Vạn Ninh: 1; Hải Đông: 1; Hải Tiến: 1; Quảng Nghĩa: 0; Bắc Sơn: 0; Hải Sơn: 1; Vĩnh Thực: 1; Vĩnh Trung: 1</t>
  </si>
  <si>
    <t>Hải Xuân: 180; Vạn Ninh: 0; Hải Đông: 0; Hải Tiến: 1; Quảng Nghĩa: 675; Bắc Sơn: 300; Hải Sơn: 100; Vĩnh Thực: 150; Vĩnh Trung: 100</t>
  </si>
  <si>
    <t>Hải Xuân: 30; Vạn Ninh: 200; Hải Đông: 16; Hải Tiến: 100; Quảng Nghĩa: 15; Bắc Sơn: 30; Hải Sơn: 100; Vĩnh Thực: 100; Vĩnh Trung: 13</t>
  </si>
  <si>
    <t>Hải Xuân: 1; Vạn Ninh: 1; Hải Đông: 1; Hải Tiến: 1; Quảng Nghĩa: 1; Bắc Sơn: 1; Hải Sơn: 1; Vĩnh Thực: 1; Vĩnh Trung: 5</t>
  </si>
  <si>
    <t>Hải Xuân: 1; Vạn Ninh: 1; Hải Đông: 1; Hải Tiến: 2; Quảng Nghĩa: 1; Bắc Sơn: 1; Hải Sơn: 1; Vĩnh Thực: 3; Vĩnh Trung: 2</t>
  </si>
  <si>
    <t>Hải Xuân: 90; Vạn Ninh: 15; Hải Đông: 55; Hải Tiến: 10; Quảng Nghĩa: 35; Bắc Sơn: 35; Hải Sơn: 8; Vĩnh Thực: 30; Vĩnh Trung: 35</t>
  </si>
  <si>
    <t>Hải Xuân: 0; Vạn Ninh: 2,4; Hải Đông: 11,5; Hải Tiến: 12; Quảng Nghĩa: 0; Bắc Sơn: 12; Hải Sơn: 7,5; Vĩnh Thực: 15; Vĩnh Trung: 17</t>
  </si>
  <si>
    <t>Hải Xuân: 72; Vạn Ninh: 25; Hải Đông: 14; Hải Tiến: 24; Quảng Nghĩa: 1; Bắc Sơn: 19; Hải Sơn: 3; Vĩnh Thực: 22; Vĩnh Trung: 15</t>
  </si>
  <si>
    <t>Hải Xuân: 6; Vạn Ninh: 2; Hải Đông: 1; Hải Tiến: 10; Quảng Nghĩa: 2; Bắc Sơn: 2; Hải Sơn: 4; Vĩnh Thực: 7; Vĩnh Trung: 3</t>
  </si>
  <si>
    <t>Hải Xuân: 3; Vạn Ninh: 5; Hải Đông: 2; Hải Tiến: 4; Quảng Nghĩa: 3; Bắc Sơn: 0; Hải Sơn: 8; Vĩnh Thực: 3; Vĩnh Trung: 0</t>
  </si>
  <si>
    <t>Hải Xuân: 10.259; Vạn Ninh: 7.255; Hải Đông: 7.323; Hải Tiến: 5.989; Quảng Nghĩa: 3.765; Bắc Sơn: 1.699; Hải Sơn: 1.598; Vĩnh Thực: 3.097; Vĩnh Trung: 1.685</t>
  </si>
  <si>
    <t>Hải Xuân: 10; Vạn Ninh: 20; Hải Đông: 5; Hải Tiến: 50; Quảng Nghĩa: 6; Bắc Sơn: 10; Hải Sơn: 2; Vĩnh Thực: 21; Vĩnh Trung: 5</t>
  </si>
  <si>
    <t>Hải Xuân: 3.859; Vạn Ninh: 1.175; Hải Đông: 2.150; Hải Tiến: 1.826; Quảng Nghĩa: 215; Bắc Sơn: 350; Hải Sơn: 319; Vĩnh Thực: 276; Vĩnh Trung: 505</t>
  </si>
  <si>
    <t>Hải Xuân: 71; Vạn Ninh: 100; Hải Đông: 65; Hải Tiến: 70,5; Quảng Nghĩa: 1,6; Bắc Sơn: 75; Hải Sơn: 70; Vĩnh Thực: 80; Vĩnh Trung: 60,5</t>
  </si>
  <si>
    <t>Hải Xuân: 100; Vạn Ninh: 100; Hải Đông: 100; Hải Tiến: 100; Quảng Nghĩa: 32; Bắc Sơn: 70; Hải Sơn: 100; Vĩnh Thực: 100; Vĩnh Trung: 100</t>
  </si>
  <si>
    <t>Hải Xuân: 4.958; Vạn Ninh: 3.713; Hải Đông: 3.891; Hải Tiến: 3.948; Quảng Nghĩa: 2.073; Bắc Sơn: 1.069; Hải Sơn: 840; Vĩnh Thực: 1.556; Vĩnh Trung: 1.036</t>
  </si>
  <si>
    <t>Hải Xuân: 4.958; Vạn Ninh: 3.713; Hải Đông: 3.891; Hải Tiến: 3.948; Quảng Nghĩa: 2.073;  Bắc Sơn: 1.069; Hải Sơn: 840; Vĩnh Thực: 1.556; Vĩnh Trung: 1.036</t>
  </si>
  <si>
    <t>Hải Xuân: 4.739; Vạn Ninh: 3.639; Hải Đông: 3.771; Hải Tiến: 3.808; Quảng Nghĩa: 1.796;  Bắc Sơn: 1.043; Hải Sơn: 798; Vĩnh Thực: 1.525; Vĩnh Trung: 984</t>
  </si>
  <si>
    <t>Hải Xuân: 2.492; Vạn Ninh: 3.180; Hải Đông: 1.859; Hải Tiến: 2.656; Quảng Nghĩa: 971;  Bắc Sơn: 901; Hải Sơn: 673; Vĩnh Thực: 1.326; Vĩnh Trung: 858</t>
  </si>
  <si>
    <t>Hải Xuân: 2.042; Vạn Ninh: 1.768; Hải Đông: 1.920; Hải Tiến: 1.645; Quảng Nghĩa: 870; Bắc Sơn: 372; Hải Sơn: 327; Vĩnh Thực: 807; Vĩnh Trung: 416</t>
  </si>
  <si>
    <t>Hải Xuân: 98,7; Vạn Ninh: 99; Hải Đông: 100; Hải Tiến: 95,6; Quảng Nghĩa: 99,8; Bắc Sơn: 100; Hải Sơn: 100; Vĩnh Thực: 100; Vĩnh Trung: 91,03</t>
  </si>
  <si>
    <t>Hải Xuân: 356; Vạn Ninh: 620; Hải Đông: 311; Hải Tiến: 47; Quảng Nghĩa: 103; Bắc Sơn: 6; Hải Sơn: 280; Vĩnh Thực: 3; Vĩnh Trung: 2</t>
  </si>
  <si>
    <t>Hải Xuân: 17; Vạn Ninh: 15; Hải Đông: 14; Hải Tiến: 14; Quảng Nghĩa: 11; Bắc Sơn: 7; Hải Sơn: 5; Vĩnh Thực: 7; Vĩnh Trung: 8</t>
  </si>
  <si>
    <t>Hải Xuân: 193; Vạn Ninh: 130; Hải Đông: 175; Hải Tiến: 141; Quảng Nghĩa: 108; Bắc Sơn: 81; Hải Sơn: 69; Vĩnh Thực: 83; Vĩnh Trung: 85</t>
  </si>
  <si>
    <t>Hải Xuân: 7; Vạn Ninh: 7; Hải Đông: 7; Hải Tiến: 20; Quảng Nghĩa: 21; Bắc Sơn: 21; Hải Sơn: 5; Vĩnh Thực: 21; Vĩnh Trung: 7</t>
  </si>
  <si>
    <t>Hải Xuân: 100; Vạn Ninh: 100; Hải Đông: 100; Hải Tiến: 100; Quảng Nghĩa: 95; Bắc Sơn: 100; Hải Sơn: 100; Vĩnh Thực: 100; Vĩnh Trung: 95</t>
  </si>
  <si>
    <t>- Cán bộ khác</t>
  </si>
  <si>
    <t>Hải Xuân: 0; Vạn Ninh: 1; Hải Đông: 1; Hải Tiến: 1; Quảng Nghĩa: 1; Bắc Sơn: 1; Hải Sơn: 1; Vĩnh Thực: 1; Vĩnh Trung: 1</t>
  </si>
  <si>
    <t>Hải Xuân: 2; Vạn Ninh: 2; Hải Đông: 1; Hải Tiến: 2; Quảng Nghĩa: 2; Bắc Sơn: 2; Hải Sơn: 2; Vĩnh Thực: 3; Vĩnh Trung: 4</t>
  </si>
  <si>
    <t>Hải Xuân: 1; Vạn Ninh: 1; Hải Đông: 0; Hải Tiến: 1; Quảng Nghĩa: 1; Bắc Sơn: 1; Hải Sơn: 1; Vĩnh Thực: 1; Vĩnh Trung: 1</t>
  </si>
  <si>
    <t>Hải Xuân: 6; Vạn Ninh: 5; Hải Đông: 5; Hải Tiến: 5; Quảng Nghĩa: 5; Bắc Sơn: 6; Hải Sơn: 6; Vĩnh Thực: 5; Vĩnh Trung: 6</t>
  </si>
  <si>
    <t>Hải Xuân: 2; Vạn Ninh: 1; Hải Đông: 2; Hải Tiến: 1; Quảng Nghĩa: 1; Bắc Sơn: 1; Hải Sơn: 0; Vĩnh Thực: 0; Vĩnh Trung: 0</t>
  </si>
  <si>
    <t>Hải Xuân: 0; Vạn Ninh: 4; Hải Đông: 4; Hải Tiến: 4; Quảng Nghĩa: 5; Bắc Sơn: 4; Hải Sơn: 4; Vĩnh Thực: 4; Vĩnh Trung: 4</t>
  </si>
  <si>
    <t>Hải Xuân: 9; Vạn Ninh: 9; Hải Đông: 10; Hải Tiến: 10; Quảng Nghĩa: 12; Bắc Sơn: 9; Hải Sơn: 10; Vĩnh Thực: 9; Vĩnh Trung: 10</t>
  </si>
  <si>
    <t>Hải Đông: 1; Hải Sơn: 1</t>
  </si>
  <si>
    <t>Hải Xuân: 1; Bắc Sơn: 1; Hải Sơn: 1</t>
  </si>
  <si>
    <t>Hải Xuân: 0; Vạn Ninh: 10; Hải Đông: 0; Hải Tiến: 14; Quảng Nghĩa: 0;  Bắc Sơn: 14; Hải Sơn: 0; Vĩnh Thực: 21; Vĩnh Trung: 0</t>
  </si>
  <si>
    <t>Hải Xuân: 650; Vạn Ninh: 684; Hải Đông: 713; Hải Tiến: 551; Quảng Nghĩa: 422; Bắc Sơn: 204; Hải Sơn: 184; Vĩnh Thực: 291; Vĩnh Trung: 213</t>
  </si>
  <si>
    <t>Hải Xuân: 1.286; Vạn Ninh: 1.090; Hải Đông: 972; Hải Tiến: 950; Quảng Nghĩa: 610; Bắc Sơn: 360; Hải Sơn: 299; Vĩnh Thực: 551; Vĩnh Trung: 264</t>
  </si>
  <si>
    <t>Hải Xuân: 1.275; Vạn Ninh: 1.077; Hải Đông: 965; Hải Tiến: 947; Quảng Nghĩa: 601; Bắc Sơn: 357; Hải Sơn: 297; Vĩnh Thực: 548; Vĩnh Trung: 262</t>
  </si>
  <si>
    <t>Hải Xuân: 99,1; Vạn Ninh: 98,7; Hải Đông: 99,3; Hải Tiến: 99,7; Quảng Nghĩa: 98,5; Bắc Sơn: 99,2; Hải Sơn: 99,3; Vĩnh Thực: 99,4; Vĩnh Trung: 99,6</t>
  </si>
  <si>
    <t>Hải Xuân: 946; Vạn Ninh: 756; Hải Đông: 659; Hải Tiến: 664; Quảng Nghĩa: 440; Bắc Sơn: 225; Hải Sơn: 187; Vĩnh Thực: 374; Vĩnh Trung: 189</t>
  </si>
  <si>
    <t>Hải Xuân: 99,8; Vạn Ninh: 98,8; Hải Đông: 99,4; Hải Tiến: 99,8; Quảng Nghĩa: 98,2; Bắc Sơn: 99,1; Hải Sơn: 98,9; Vĩnh Thực: 99,2; Vĩnh Trung: 99,5</t>
  </si>
  <si>
    <t>Hải Xuân: 448; Vạn Ninh: 434; Hải Đông: 394; Hải Tiến: 377; Quảng Nghĩa: 192;  Bắc Sơn: 164; Hải Sơn: 139; Vĩnh Thực: 232; Vĩnh Trung: 104</t>
  </si>
  <si>
    <t>Hải Xuân: 100; Vạn Ninh: 98,0; Hải Đông: 98,7; Hải Tiến: 94,6; Quảng Nghĩa: 95,0;  Bắc Sơn: 99,3; Hải Sơn: 98,6; Vĩnh Thực: 97,9; Vĩnh Trung: 98,1</t>
  </si>
  <si>
    <t>Hải Xuân: 370; Vạn Ninh: 341; Hải Đông: 354; Hải Tiến: 274; Quảng Nghĩa: 154;  Bắc Sơn: 64; Hải Sơn: 131; Vĩnh Thực: 121; Vĩnh Trung: 40</t>
  </si>
  <si>
    <t>Hải Xuân: 95,0; Vạn Ninh: 92,0; Hải Đông: 95,0; Hải Tiến: 92,0; Quảng Nghĩa: 91,0;  Bắc Sơn: 90,0; Hải Sơn: 91,0; Vĩnh Thực: 92,9; Vĩnh Trung: 90,9</t>
  </si>
  <si>
    <t>Hải Xuân: 97,7; Vạn Ninh: 93,4; Hải Đông: 92,7; Hải Tiến: 91,8; Quảng Nghĩa: 93,5;  Bắc Sơn: 72,7; Hải Sơn: 83,7; Vĩnh Thực: 97,2; Vĩnh Trung: 91,3</t>
  </si>
  <si>
    <t>1.2</t>
  </si>
  <si>
    <t>Hải Xuân: 90,0; Vạn Ninh: 83,0; Hải Đông: 87,0; Hải Tiến: 87,0; Quảng Nghĩa: 77,0;  Bắc Sơn: 40,5; Hải Sơn: 76,0; Vĩnh Thực: 66,5; Vĩnh Trung: 40,0</t>
  </si>
  <si>
    <t>Hải Xuân: 52,6; Vạn Ninh: 85,6; Hải Đông: 49,3; Hải Tiến: 67,3; Quảng Nghĩa: 54,1;  Bắc Sơn: 84,3; Hải Sơn: 84,0; Vĩnh Thực: 85,2; Vĩnh Trung: 87,2</t>
  </si>
  <si>
    <t>Hải Xuân: 47,4; Vạn Ninh: 14,4; Hải Đông: 50,7; Hải Tiến: 29; Quảng Nghĩa: 45,9;  Bắc Sơn: 15,7; Hải Sơn: 16; Vĩnh Thực: 12,8; Vĩnh Trung: 12,1</t>
  </si>
  <si>
    <t>Hải Xuân: 13; Vạn Ninh: 5; Hải Đông: 10; Hải Tiến: 9; Quảng Nghĩa:5; Bắc Sơn: 4; Hải Sơn: 3; Vĩnh Thực: 3; Vĩnh Trung: 4</t>
  </si>
  <si>
    <t>Tuyến từ đập P.Cạp đến chia nước</t>
  </si>
  <si>
    <t>Tuyến từ chia nước đến Ô Khai</t>
  </si>
  <si>
    <t>Tuyến từ chia nước đến Nhà Sạch</t>
  </si>
  <si>
    <t>Tuyến kênh Củ Sềnh</t>
  </si>
  <si>
    <t>Mương thôn 5 Lòng cống</t>
  </si>
  <si>
    <t>Tổng cộng</t>
  </si>
  <si>
    <t>Tuyến từ Cao Lan đến nhà ông A Tài</t>
  </si>
  <si>
    <t>Tuyến từ Nhà bà Lan ra giữa cánh đồng, Phình Hồ</t>
  </si>
  <si>
    <t>Tuyến từ đập nước xuống nhà ông Phúc, Pẹc Nả</t>
  </si>
  <si>
    <t>Tuyến 341 vào bãi ngô, Pẹc Nả</t>
  </si>
  <si>
    <t>Tuyến từ cánh đồng về trạm cũ đoàn 42, Pẹc Nả</t>
  </si>
  <si>
    <t>Tuyến từ nhà ông Cảnh đến giữa cánh đồng, Pẹc Nả</t>
  </si>
  <si>
    <t>Tuyến từ đập nước xuống bản 10 hộ, Thán Phún</t>
  </si>
  <si>
    <t>Tuyến từ đập nước xuống cánh đồng ông A Tàu, Thán Phún</t>
  </si>
  <si>
    <t>Tuyến từ nhà ông A Ậu đến nhà bà Sin, Thán Phún</t>
  </si>
  <si>
    <t>Tuyến từ dọc khe núi đến nhà ông Sáng, Thán Phún</t>
  </si>
  <si>
    <t>Tuyến từ nhà ông Chiu đến khu ruộng bờ sông, Thán Phún</t>
  </si>
  <si>
    <t>Tuyến từ nhà ông Cát đến nhà ông Mải, Lục Chắn</t>
  </si>
  <si>
    <t>Tuyến từ nhà bà Tay đến nhà ông Tắc Chắn, Pò Hèn</t>
  </si>
  <si>
    <t>Tuyến từ nhà bà Tay đến cây Đa, Pò Hèn</t>
  </si>
  <si>
    <t>Tuyến từ nhà bà Tay đến nhà ông Cát, Pò Hèn</t>
  </si>
  <si>
    <t>Tuyến từ đập Đồi Tây đến nhà ông Chắn, Pò Hèn</t>
  </si>
  <si>
    <t>Tuyến từ nhà ông Thành đến nhà ông Chung, Pò Hèn</t>
  </si>
  <si>
    <t>Tuyến từ đập Mốc 13 đến nhà bà Tay, Pò Hèn</t>
  </si>
  <si>
    <t>Tuyến từ cây Đa đến nhà ông Xay Nàm, Pò Hèn</t>
  </si>
  <si>
    <t>Tuyến từ Đài tưởng niệm đến nhà ông Tiến, Pò Hèn</t>
  </si>
  <si>
    <t>Tuyến từ đập Mã thầu sán đến khu miếu, Thán Phún Xã</t>
  </si>
  <si>
    <t>Tuyến từ nhà ông Lồ đến nhà ông Thành, Thán Phún Xã</t>
  </si>
  <si>
    <t>Tuyến từ đập dâng 20 hộ đến nhà bà Sùi, Thán Phún Xã</t>
  </si>
  <si>
    <t>Tuyến từ đập 10 hộ Lý Lố đến nhà ông Phương, Thán Phún Xã</t>
  </si>
  <si>
    <t>Tuyến từ cầu voi đến ngã ba đường rẽ thôn đông, N12A</t>
  </si>
  <si>
    <t>Tuyến từ ngã ba rẽ thôn đông đến khu nhà ông điền thôn nam, N12A</t>
  </si>
  <si>
    <t>Tuyến số 01 nhà Mạc Sơn t7- Lâm Ngô t7, Thôn 3</t>
  </si>
  <si>
    <t>Tuyến số 02 Bà Ngọ t7- Ông Lưu T3, Thôn 3</t>
  </si>
  <si>
    <t>Tuyến số 03 Ông Tình- Đường xứ đồng, Thôn 3</t>
  </si>
  <si>
    <t>Tuyến số 04 Ông Nguyễn- Cánh đồng 24 là, Thôn 3</t>
  </si>
  <si>
    <t>Tuyến số 05 Ông Sàu- Gò rừng, Thôn 3</t>
  </si>
  <si>
    <t>Tuyến số 06 Bà Ngọ- Sáng Sơ, Thôn 3</t>
  </si>
  <si>
    <t>Tuyến số 07 Ông Nhặt- Ông Nguyễn, Thôn 3</t>
  </si>
  <si>
    <t>Tuyến số 08 Ông Sau Miếu- Ông Cứu, Thôn 3</t>
  </si>
  <si>
    <t>Tuyến Số 01 Ông Phúc- Bà Khái, Thôn 4</t>
  </si>
  <si>
    <t>Tuyến Số 02 Hương Lĩnh- Bà Tít (Nauy), Thôn 4</t>
  </si>
  <si>
    <t>Tuyến Số 03 Ông Minh (TT)- Ông Nhị, Thôn 4</t>
  </si>
  <si>
    <t>Tuyến Số 04 Ông Thảo - Ông Thân, Thôn 4</t>
  </si>
  <si>
    <t>Tuyến Số 05 Gò Rừng - Ruộng Ông Sáng, Thôn 4</t>
  </si>
  <si>
    <t>Tuyến Số 06 Ông Sáng - Ông Thắng, Thôn 4</t>
  </si>
  <si>
    <t>Tuyến Số 07 Bà Lã - Ruộng Ông Nghiên, Thôn 4</t>
  </si>
  <si>
    <t>Tuyến Số 08 Ao cá -Ông Hỷ Thông, Thôn 4</t>
  </si>
  <si>
    <t>Tuyến Số 09 Cửa Bảo, cửa Hường Sau ông Tính, Thôn 4</t>
  </si>
  <si>
    <t>Tuyến Số 10 Cửa Khang Gái- Miếu, Thôn 4</t>
  </si>
  <si>
    <t>Tuyến Số 11 Bà Tít- Mã Trắng, Thôn 4</t>
  </si>
  <si>
    <t>Tuyến Số 12 Ruộng Ông Lã- Ruộng Ông Vương, Thôn 4</t>
  </si>
  <si>
    <t>Tuyến Số 01 Cửa Ông Thạch- Ông Nhị thôn 4, Thôn 5</t>
  </si>
  <si>
    <t>Tuyến Số 02 Sân Bóng- Ông Lân, Thôn 5</t>
  </si>
  <si>
    <t>Tuyến Số 03 Tuyến mương nội đồng, Thôn 5</t>
  </si>
  <si>
    <t>Tuyến Số 01 Trường TH cũ- Bà Tính Hiền, Thôn 6</t>
  </si>
  <si>
    <t>Tuyến Số 02 Ông Hán- Bà Phương Bạch, Thôn 6</t>
  </si>
  <si>
    <t>Tuyến Số 03 Bà Ngà- Trạm đăng kiểm, Thôn 6</t>
  </si>
  <si>
    <t>Tuyến Số 04 Ông Chiến- Ông Trần, Thôn 6</t>
  </si>
  <si>
    <t>Tuyến Số 05 Ông Khải- Ông Tực, Thôn 6</t>
  </si>
  <si>
    <t>Tuyến Số 01 Sau UB xã- Ông Vinh, Thôn 7</t>
  </si>
  <si>
    <t>Tuyến Số 02 Ông Viết- Ông Cương Lấp, Thôn 7</t>
  </si>
  <si>
    <t>Tuyến Số 03 Đài Liệt sỹ- Bà Thủy, Thôn 7</t>
  </si>
  <si>
    <t>Tuyến Số 04 Cửa Ông Thạch- Ông Mấm, Thôn 7</t>
  </si>
  <si>
    <t>Tuyến Số 05 Ông Vinh- Ông Phú Tựa, Thôn 7</t>
  </si>
  <si>
    <t>Tuyến Số 06 Ông Nam- Ông Phúc, Thôn 7</t>
  </si>
  <si>
    <t>Tuyến Số 01 Đông Ông Kỷ- Ông Việt Cam, Thôn 8</t>
  </si>
  <si>
    <t>Tuyến Số 02 Ông Vỵ- Ông Đặng Từ, Thôn 8</t>
  </si>
  <si>
    <t>Tuyến Số 03 Ông Hà đảo- Ông Long Vị, Thôn 8</t>
  </si>
  <si>
    <t>Tuyến Số 04 Ông Hà đảo- Ông Tần, Thôn 8</t>
  </si>
  <si>
    <t>Tuyến Số 05 Các tuyến nội đồng, Thôn 8</t>
  </si>
  <si>
    <t>Tuyến Số 01 Miếu Mán- Miếu Ông Long, Thôn 9</t>
  </si>
  <si>
    <t>Tuyến Số 02 Ông Vương- Tràn Thôn 5, Thôn 9</t>
  </si>
  <si>
    <t>Tuyến Số 03 Các tuyến nội đồng, Thôn 9</t>
  </si>
  <si>
    <t>Xuống đồng Phạm sinh, Thôn 1</t>
  </si>
  <si>
    <t>Xuống khu bà Hảo, Thôn 1</t>
  </si>
  <si>
    <t>Của bà Sáng, Thôn 1</t>
  </si>
  <si>
    <t>Đồng cây cao, Thôn 1</t>
  </si>
  <si>
    <t>Xuống đồng Lòng Cống, Thôn 1</t>
  </si>
  <si>
    <t>Xuống đồng Cống Lậu, Thôn 1</t>
  </si>
  <si>
    <t>Cửa bà Điền, Thôn 2</t>
  </si>
  <si>
    <t>Đồng Tư Kim, Thôn 2</t>
  </si>
  <si>
    <t>Đồng Cống Lậu, Thôn 2</t>
  </si>
  <si>
    <t>Đồng Pẩu Làu, Thôn 2</t>
  </si>
  <si>
    <t>Đồng cửa Nữ, Thôn 3a</t>
  </si>
  <si>
    <t>Đồng Tài Voòng, Thôn 3a</t>
  </si>
  <si>
    <t>Đồng cửa Neo, Thôn 3b</t>
  </si>
  <si>
    <t>Đồng Nhà trường, Thôn 3b</t>
  </si>
  <si>
    <t>Đồng Gốc đa, Thôn 3b</t>
  </si>
  <si>
    <t>Đồng ông Mùi, Thôn 3b</t>
  </si>
  <si>
    <t>Đồng ông Phụng, Thôn 3b</t>
  </si>
  <si>
    <t>Đồng Lò gạch, Thôn 3b</t>
  </si>
  <si>
    <t>Đồng bà Ý, Thôn 3b</t>
  </si>
  <si>
    <t>Đồng gò ông Chung, Thôn 4</t>
  </si>
  <si>
    <t>Xuống đồng bà Ngác, Thôn 4</t>
  </si>
  <si>
    <t>Đồng Công ty, Thôn 4</t>
  </si>
  <si>
    <t>Sau nhà ông Nhân, Thôn 4</t>
  </si>
  <si>
    <t>Đồng ông Bình, Thôn 4</t>
  </si>
  <si>
    <t>Đồng cửa ông Tình, Thôn 5</t>
  </si>
  <si>
    <t>Đồng khu Bảng tin, Thôn 5</t>
  </si>
  <si>
    <t>Đồng 33 là, Thôn 6</t>
  </si>
  <si>
    <t>Đồng cửa ông Nhận, Thôn 6</t>
  </si>
  <si>
    <t>Đồng Bàng Thìn, Thôn 6</t>
  </si>
  <si>
    <t>Đồng cửa ông Nho, Thôn 6</t>
  </si>
  <si>
    <t>Đồng bà Ký, Thôn 7</t>
  </si>
  <si>
    <t>Đồng cửa ông Cư, Thôn 7</t>
  </si>
  <si>
    <t>Khu cửa Rạp, Thôn 8</t>
  </si>
  <si>
    <t>Mương từ nhà Thắm đến đồng Cờ đỏ Thôn 2</t>
  </si>
  <si>
    <t>Cửa Tặt Thôn 2</t>
  </si>
  <si>
    <t>Sau Thọ Thôn 2</t>
  </si>
  <si>
    <t>Mương từ nhà Mân đến đồng Cát Thôn 3</t>
  </si>
  <si>
    <t>Mương từ bà Beng đến đồng Nà quan Thôn 3</t>
  </si>
  <si>
    <t>Sau Bính Thôn 3</t>
  </si>
  <si>
    <t>Vườn Cam Thôn 3</t>
  </si>
  <si>
    <t>Cầu treo Thôn 3</t>
  </si>
  <si>
    <t>Mương đồng Phó Lý Còm Thôn 4</t>
  </si>
  <si>
    <t>Cửa Làu Thôn 4</t>
  </si>
  <si>
    <t>Sau Thương Thôn 4</t>
  </si>
  <si>
    <t>Mương nhà bà Nghiêm đến nhà Khẩn Thôn 5</t>
  </si>
  <si>
    <t>Mương nhà Long đến nhà Thắng Thôn 5</t>
  </si>
  <si>
    <t>Mương đập tràn đến núi I Thôn 5</t>
  </si>
  <si>
    <t>Cửa Cành Thôn 5</t>
  </si>
  <si>
    <t>Mương từ hồ Lầm Coỏng</t>
  </si>
  <si>
    <t>Tổng toàn thành phố</t>
  </si>
  <si>
    <t>Hải Xuân: 0; Vạn Ninh: 0; Hải Đông: 0; Hải Tiến: 1; Quảng Nghĩa: 0; Bắc Sơn: 1; Hải Sơn: 1; Vĩnh Thực: 5; Vĩnh Trung: 5</t>
  </si>
  <si>
    <t>Trạm</t>
  </si>
  <si>
    <t>Hải Tiến: 1; Vĩnh Thực: 1; Vĩnh Trung: 1</t>
  </si>
  <si>
    <t>Hải Xuân: 0; Vạn Ninh: 0; Hải Đông: 0; Hải Tiến: 1; Quảng Nghĩa: 0; Bắc Sơn: 1; Hải Sơn: 1; Vĩnh Thực: 5; Vĩnh Trung: 4</t>
  </si>
  <si>
    <t>Hải Tiến: 40; Bắc Sơn: 60; Hải Sơn: 40; Vĩnh Thực: 340; Vĩnh Trung: 200</t>
  </si>
  <si>
    <t>Hải Tiến: 40; Bắc Sơn: 60; Hải Sơn: 40; Vĩnh Thực: 200; Vĩnh Trung: 150</t>
  </si>
  <si>
    <t>Hải Tiến: 40; Bắc Sơn: 60; Hải Sơn: 40; Vĩnh Thực: 280; Vĩnh Trung: 190</t>
  </si>
  <si>
    <t>Hải Xuân: 18; Vạn Ninh: 11; Hải Đông: 9; Hải Tiến: 15; Quảng Nghĩa: 16; Bắc Sơn: 4; Hải Sơn: 5; Vĩnh Thực: 6; Vĩnh Trung: 3</t>
  </si>
  <si>
    <t>Hải Xuân: 12; Vạn Ninh: 30; Hải Đông: 26; Hải Tiến: 44; Quảng Nghĩa: 34; Bắc Sơn: 18; Hải Sơn: 9; Vĩnh Thực: 29; Vĩnh Trung: 0</t>
  </si>
  <si>
    <t>Hải Xuân: 0,58; Vạn Ninh: 1,68; Hải Đông: 1,26; Hải Tiến: 2,69; Quảng Nghĩa: 3,9; Bắc Sơn: 4,84; Hải Sơn: 2,68; Vĩnh Thực: 3,62; Vĩnh Trung: 0</t>
  </si>
  <si>
    <t>Sản xuất kinh doanh các sản phẩm nông lâm ngư nghiệp</t>
  </si>
  <si>
    <t>Khai thác và sơ chế biến Sứa</t>
  </si>
  <si>
    <t>Khai thác và sơ chế biến Sá Sùng</t>
  </si>
  <si>
    <t>Nuôi trồng, khai thác thuỷ sản</t>
  </si>
  <si>
    <t>Sản phẩm thực phẩm</t>
  </si>
  <si>
    <t>Hải Xuân: 69; Vạn Ninh: 66,5; Hải Đông: 68,5; Hải Tiến: 67,5; Quảng Nghĩa: 56,5; Bắc Sơn: 53,0; Hải Sơn: 52,5; Vĩnh Thực: 66,5; Vĩnh Trung: 67,5</t>
  </si>
  <si>
    <t>Hải Xuân: 1.440; Vạn Ninh: 1.181; Hải Đông: 1.118; Hải Tiến: 988; Quảng Nghĩa: 511; Bắc Sơn: 182; Hải Sơn: 172; Vĩnh Thực: 440; Vĩnh Trung: 316</t>
  </si>
  <si>
    <t>Hải Xuân: 9; Vạn Ninh: 5; Hải Đông: 3; Hải Tiến: 3; Quảng Nghĩa: 2; Bắc Sơn: 3; Hải Sơn: 2; Vĩnh Thực: 2; Vĩnh Trung: 1</t>
  </si>
  <si>
    <t>Hải Xuân: 2; Vạn Ninh: 5; Hải Đông: 3; Hải Tiến: 3; Quảng Nghĩa: 2; Bắc Sơn: 3; Hải Sơn: 2; Vĩnh Thực: 2; Vĩnh Trung: 1</t>
  </si>
  <si>
    <t>Hải Xuân: 2.466; Vạn Ninh: 533; Hải Đông: 2.032; Hải Tiến: 1.152; Quảng Nghĩa: 1.248;  Bắc Sơn: 168; Hải Sơn: 167; Vĩnh Thực: 230; Vĩnh Trung: 126</t>
  </si>
  <si>
    <t>Cánh đồng đê cây nhãn</t>
  </si>
  <si>
    <t>Hải Xuân: 2.088; Vạn Ninh: 1.777; Hải Đông: 1.631; Hải Tiến: 1.464; Quảng Nghĩa: 906; Bắc Sơn: 345; Hải Sơn: 329; Vĩnh Thực: 663; Vĩnh Trung: 469</t>
  </si>
  <si>
    <t>Số giường bệnh lưu trú của Trạm Y tế</t>
  </si>
  <si>
    <t>Hải Xuân: 80/100; Vạn Ninh: 30/30; Hải Đông: 62/62; Hải Tiến: 72/91; Quảng Nghĩa: 33/33; Bắc Sơn: 20/20; Hải Sơn: 17/17; Vĩnh Thực: 23/23; Vĩnh Trung: 11/11</t>
  </si>
  <si>
    <t>Hải Xuân: 507/537; Vạn Ninh: 448/487; Hải Đông: 614/652; Hải Tiến: 619/677; Quảng Nghĩa: 278/335; Bắc Sơn: 267/315; Hải Sơn: 284/339; Vĩnh Thực: 216/240; Vĩnh Trung: 143/158</t>
  </si>
  <si>
    <t>Hải Xuân: 24/24; Vạn Ninh: 0/0; Hải Đông: 16/16; Hải Tiến: 47/47; Quảng Nghĩa: 42/42; Bắc Sơn: 75/100; Hải Sơn: 68/86; Vĩnh Thực: 9/9; Vĩnh Trung: 3/3</t>
  </si>
  <si>
    <t>Hải Xuân: 68/225; Vạn Ninh: 369/527; Hải Đông: 143/357; Hải Tiến: 33/130; Quảng Nghĩa: 38/76; Bắc Sơn: 0/0; Hải Sơn: 0/0; Vĩnh Thực: 7/7; Vĩnh Trung: 18/66</t>
  </si>
  <si>
    <t>Hải Xuân: 34/112; Vạn Ninh: 21/34; Hải Đông: 38/106; Hải Tiến: 26/86; Quảng Nghĩa: 67/151; Bắc Sơn: 78/217; Hải Sơn: 15/31; Vĩnh Thực: 18/52; Vĩnh Trung: 19/29</t>
  </si>
  <si>
    <t>Hải Xuân: 75/100; Vạn Ninh: 30/30; Hải Đông: 32/62; Hải Tiến: 61/91; Quảng Nghĩa: 33/33; Bắc Sơn: 20/20; Hải Sơn: 17/17; Vĩnh Thực: 23/23; Vĩnh Trung: 11/11</t>
  </si>
  <si>
    <t>Hải Xuân: 238/285; Vạn Ninh: 229/249; Hải Đông: 389/425; Hải Tiến: 405/445; Quảng Nghĩa: 161/207; Bắc Sơn: 113/133; Hải Sơn: 112/150; Vĩnh Thực: 135/150; Vĩnh Trung: 117/130</t>
  </si>
  <si>
    <t>Hải Xuân: 92/112; Vạn Ninh: 34/34; Hải Đông: 86/106; Hải Tiến: 66/86; Quảng Nghĩa: 121/151; Bắc Sơn: 157/217; Hải Sơn: 31/31; Vĩnh Thực: 52/52; Vĩnh Trung: 29/29</t>
  </si>
  <si>
    <t>Hải Xuân: 205/225; Vạn Ninh: 427/527; Hải Đông: 253/357; Hải Tiến: 130/130; Quảng Nghĩa: 76/76; Bắc Sơn: 0/0; Hải Sơn: 0/0; Vĩnh Thực: 7/7; Vĩnh Trung: 66/66</t>
  </si>
  <si>
    <t>Hải Xuân: 2.088; Vạn Ninh: 1.777; Hải Đông: 1.631; Hải Tiến: 1.390; Quảng Nghĩa: 750; Bắc Sơn: 305; Hải Sơn: 319; Vĩnh Thực: 610; Vĩnh Trung: 469</t>
  </si>
  <si>
    <t>Hải Xuân: 1989; Vạn Ninh: 1.786; Hải Đông: 1.582; Hải Tiến: 1.390; Quảng Nghĩa: 750; Bắc Sơn: 305; Hải Sơn: 327; Vĩnh Thực: 610; Vĩnh Trung: 469</t>
  </si>
  <si>
    <t>Hải Xuân: 2.026; Vạn Ninh: 1.638; Hải Đông: 1.582; Hải Tiến: 1.373; Quảng Nghĩa: 860; Bắc Sơn: 320; Hải Sơn: 312; Vĩnh Thực: 603; Vĩnh Trung: 446</t>
  </si>
  <si>
    <t>Hải Xuân: 2.041; Vạn Ninh: 1.684; Hải Đông: 1.631; Hải Tiến: 1.320; Quảng Nghĩa: 750; Bắc Sơn: 305; Hải Sơn: 319; Vĩnh Thực: 603; Vĩnh Trung: 433</t>
  </si>
  <si>
    <t>Hải Xuân: 1965; Vạn Ninh: 1.684; Hải Đông: 1.582; Hải Tiến: 1.320; Quảng Nghĩa: 750; Bắc Sơn: 287; Hải Sơn: 319; Vĩnh Thực: 603; Vĩnh Trung: 433</t>
  </si>
  <si>
    <t>Hải Xuân: 94,1; Vạn Ninh: 94,7; Hải Đông: 96,9; Hải Tiến: 90,1; Quảng Nghĩa: 82,8;  Bắc Sơn: 83,2; Hải Sơn: 96,9; Vĩnh Thực: 91,0; Vĩnh Trung: 92,3</t>
  </si>
  <si>
    <t>Hải Xuân, Vạn Ninh, Hải Đông, Hải Tiến, Quảng Nghĩa, Bắc Sơn, Hải Sơn: 1 (xử lý rác thải vào hệ thống chung của thành phố tại Km26); Hải Sơn: 1; Vĩnh Thực, Vĩnh Trung: 1</t>
  </si>
  <si>
    <t>Hải Xuân: 7,6; Vạn Ninh: 10,5; Hải Đông: 13,47; Hải Tiến: 5,48; Quảng Nghĩa: 5,05; Bắc Sơn: 28,8; Hải Sơn: 20,73; Vĩnh Thực: 5,8; Vĩnh Trung: 6,2</t>
  </si>
  <si>
    <t>Hải Xuân: 21,5; Vạn Ninh: 10,8; Bắc Sơn: 10,61; Hải Sơn: 8,2; Vĩnh Thực: 10,38; Vĩnh Trung: 6,96; Hải Đông: 10,9; Hải Tiến: 7,87; Quảng Nghĩa: 13,65</t>
  </si>
  <si>
    <t>Hải Xuân: 5,69; Vạn Ninh: 11,6; Hải Đông: 13,7; Hải Tiến: 9,65; Quảng Nghĩa: 11,36; Bắc Sơn: 11,58; Hải Sơn: 4,56; Vĩnh Thực: 4,49; Vĩnh Trung: 7,48</t>
  </si>
  <si>
    <t>Hải Xuân: 4,35; Hải Đông: 8,68; Hải Tiến: 7,56; Quảng Nghĩa: 7,39; Vĩnh Trung: 4,18</t>
  </si>
  <si>
    <t>Hải Xuân: 1; Hải Tiến: 1; Quảng Nghĩa: 1; Vĩnh Thực: 1; Vĩnh Trung: 1</t>
  </si>
  <si>
    <t>Trong đó: Quy hoạch được kiên cố hóa</t>
  </si>
  <si>
    <t>Hải Xuân: 1; Vạn Ninh: 1; Hải Tiến: 1; Quảng Nghĩa: 1; Vĩnh Thực: 1; Vĩnh Trung: 1</t>
  </si>
  <si>
    <t>BIỂU 1: CÁC THÔNG TIN CHUNG CỦA 09 XÃ NÔNG THÔN MỚI</t>
  </si>
  <si>
    <t>Hải Xuân: 0,87; Vạn Ninh: 0,62; Hải Đông: 0,44; Hải Tiến: 0,92; Q.Nghĩa: 1,83; Bắc Sơn: 1,08; Hải Sơn: 1,49; Vĩnh Thực: 0,75; Vĩnh Trung: 0,69</t>
  </si>
  <si>
    <t>Hải Xuân: 2.058; Vạn Ninh: 1.786; Hải Đông: 2.064; Hải Tiến: 1.635; Q.Nghĩa: 872; Bắc Sơn: 372; Hải Sơn: 336; Vĩnh Thực: 801; V.Trung: 432</t>
  </si>
  <si>
    <t>Hải Xuân: 2.052; Vạn Ninh: 1.746; Hải Đông: 1.920; Hải Tiến: 1.546; Q.Nghĩa: 872; Bắc Sơn: 320; Hải Sơn: 327; Vĩnh Thực: 721; V.Trung: 426</t>
  </si>
  <si>
    <t>H.Xuân: 10.259; V.Ninh: 7.255; H.Đông: 7.323; H.Tiến: 5.989; Q.Nghĩa: 3.758; Bắc Sơn: 1.699; Hải Sơn: 1.598; V.Thực: 3.097; V.Trung: 1.685</t>
  </si>
  <si>
    <t>H.Xuân: 2.017; V.Ninh: 1.659; H.Đông: 1.894; Hải Tiến: 1.489; Q.Nghĩa: 700;  Bắc Sơn: 255; Hải Sơn: 268; Vĩnh Thực: 668; Vĩnh Trung: 416</t>
  </si>
  <si>
    <t>Tỷ lệ nhà đạt chuẩn theo Bộ XD/tổng số nhà</t>
  </si>
  <si>
    <t>Hải Xuân: 98,3; Vạn Ninh: 95; Hải Đông: 98,6; Hải Tiến: 96,3; Q.Nghĩa: 80,3; Bắc Sơn: 79,7; Hải Sơn: 82; Vĩnh Thực: 92,6; Vĩnh Trung: 97,65</t>
  </si>
  <si>
    <t>Số lượng nhà chưa đạt chuẩn theo Bộ XD</t>
  </si>
  <si>
    <t>Tỷ lệ  nhà chưa đạt chuẩn theo Bộ XD/tổng số nhà</t>
  </si>
  <si>
    <t>bưu cục</t>
  </si>
  <si>
    <t>Hải Xuân: 2.227; Vạn Ninh: 516; Hải Đông: 1.689; Hải Tiến: 800; Q.Nghĩa: 770; Bắc Sơn: 290; Hải Sơn: 320; Vĩnh Thực: 235; Vĩnh Trung: 397</t>
  </si>
  <si>
    <t>có/kh</t>
  </si>
  <si>
    <t>H.Xuân: 9.571; V.Ninh: 6.454; H.Đông: 6.960; H.Tiến: 5.705; Q.Nghĩa: 3.675; Bắc Sơn: 1.678; Hải Sơn: 1.598; V.Thực: 3.111; V.Trung: 1.693</t>
  </si>
  <si>
    <t>Hải Xuân: 93,3; Vạn Ninh: 94,0; Hải Đông: 95,0; Hải Tiến: 95,3; Q.Nghĩa: 97,8; Bắc Sơn: 98,8; Hải Sơn: 100; Vĩnh Thực: 100,8; Vĩnh Trung: 101,6</t>
  </si>
  <si>
    <t>H.Xuân: 4.842; V.Ninh: 3.153; H.Đông: 1.606; H.Tiến: 1.725; Q.Nghĩa: 3.624; Bắc Sơn: 1.651; Hải Sơn: 1.425; V.Thực: 3.111; V.Trung: 1.693</t>
  </si>
  <si>
    <t>Hải Xuân: 47,2; Vạn Ninh: 45,9; Hải Đông: 21,9; Hải Tiến: 28,8; Q.Nghĩa: 96,43; Bắc Sơn: 97,2; Hải Sơn: 89,2; Vĩnh Thực: 100,8; Vĩnh Trung: 101,6</t>
  </si>
  <si>
    <t>Hải Xuân: 23; Vạn Ninh: 33,47; Hải Đông: 29,5; Hải Tiến: 17,8; Q.Nghĩa: 21,6; Bắc Sơn: 60,4; Hải Sơn: 20,1; Vĩnh Thực: 18,3; Vĩnh Trung: 14</t>
  </si>
  <si>
    <t>Hải Xuân: 2.058; Vạn Ninh: 1.786; Hải Đông: 2.064; Hải Tiến: 1.635; Q.Nghĩa: 872; Bắc Sơn: 372; Hải Sơn: 336; V.Thực: 801; V.Trung: 432</t>
  </si>
  <si>
    <t>Hải Xuân: 100; Vạn Ninh: 100; Hải Đông: 100; Hải Tiến: 100; Q.Nghĩa: 100; Bắc Sơn: 100; Hải Sơn: 100; Vĩnh Thực: 100; Vĩnh Trung: 100</t>
  </si>
  <si>
    <t>(Kèm theo Báo cáo số           /BC-UBND ngày         /3/2019 của UBND thành phố Móng Cái)</t>
  </si>
  <si>
    <t>Đã lập nhưng chưa phê duyệt</t>
  </si>
  <si>
    <t>Đá răm, sỏi</t>
  </si>
  <si>
    <t>ĐVT: Km</t>
  </si>
  <si>
    <t xml:space="preserve"> + Trên 6m</t>
  </si>
  <si>
    <t xml:space="preserve"> + Dưới 6m</t>
  </si>
  <si>
    <t xml:space="preserve"> + Từ trên 3,5m</t>
  </si>
  <si>
    <t xml:space="preserve"> + Từ trên 2,8 đến 3,5m</t>
  </si>
  <si>
    <t xml:space="preserve"> + Dưới 2,8m</t>
  </si>
  <si>
    <r>
      <t>Diện tích gieo trồng</t>
    </r>
    <r>
      <rPr>
        <i/>
        <sz val="12"/>
        <rFont val="Times New Roman"/>
        <family val="1"/>
      </rPr>
      <t xml:space="preserve"> (ha)</t>
    </r>
  </si>
  <si>
    <r>
      <t xml:space="preserve">Tổng diện tích được 
tưới chủ động </t>
    </r>
    <r>
      <rPr>
        <i/>
        <sz val="12"/>
        <rFont val="Times New Roman"/>
        <family val="1"/>
      </rPr>
      <t>(ha)</t>
    </r>
  </si>
  <si>
    <r>
      <t>Tổng diện tích được
 tiêu chủ động</t>
    </r>
    <r>
      <rPr>
        <i/>
        <sz val="12"/>
        <rFont val="Times New Roman"/>
        <family val="1"/>
      </rPr>
      <t xml:space="preserve"> (ha)</t>
    </r>
  </si>
  <si>
    <t>Tên cây/nhóm cây trồng</t>
  </si>
  <si>
    <t>Rau màu</t>
  </si>
  <si>
    <t>Ngô</t>
  </si>
  <si>
    <r>
      <t xml:space="preserve">Tổng chiều dài </t>
    </r>
    <r>
      <rPr>
        <i/>
        <sz val="13"/>
        <rFont val="Times New Roman"/>
        <family val="1"/>
      </rPr>
      <t>(km)</t>
    </r>
  </si>
  <si>
    <r>
      <t>m</t>
    </r>
    <r>
      <rPr>
        <vertAlign val="superscript"/>
        <sz val="13"/>
        <rFont val="Times New Roman"/>
        <family val="1"/>
      </rPr>
      <t>2</t>
    </r>
  </si>
  <si>
    <t>3.2. Dụng cụ thể dục thể thao đảm bảo theo công trình thể dục thể thao và các môn thể thao của từng xã</t>
  </si>
  <si>
    <t>Hải Xuân: 4.628; Vạn Ninh: 5.866; Hải Đông: 850; Hải Tiến: 1.167; Q.Nghĩa: 66; Bắc Sơn: 1.060; Hải Sơn: 559; Vĩnh Thực: 520; V.Trung: 481</t>
  </si>
  <si>
    <t>2.2. Phòng chức năng NVH đa năng (hành chính; đọc sách, báo, thư viện; thông tin truyền thanh; câu lạc bộ; hoặc tập các môn thể thao đơn giản)</t>
  </si>
  <si>
    <t>Hải Xuân: 5.679; Vạn Ninh: 853,5; H.Đông: 286; H.Tiến: 3.616; Q.Nghĩa: 4.472; Bắc Sơn: 21.008; Hải Sơn: 1.210; V.Thực: 1.064; V.Trung: 1.500</t>
  </si>
  <si>
    <t>5.2 Thù lao cho cán bộ chuyên trách và bán chuyên trách được quy định tại TT liên tịch 03/2010/TTTL-BNV-BTC-BLĐTB&amp;XH ngày 12/5/2010</t>
  </si>
  <si>
    <t>Hải Xuân: 0; Vạn Ninh: 11,9; Hải Đông: 0; Hải Tiến: 0,04; Q.Nghĩa: 0;  Bắc Sơn: 26,4; Hải Sơn: 0; Vĩnh Thực: 11,5; Vĩnh Trung: 0</t>
  </si>
  <si>
    <t>Hải Xuân: 87; Vạn Ninh: 91; Hải Đông: 96; Hải Tiến: 98; Q.Nghĩa: 46;  Bắc Sơn: 33; Hải Sơn: 37; Vĩnh Thực: 36; Vĩnh Trung: 23</t>
  </si>
  <si>
    <t>H.Xuân: 100; Vạn Ninh: 100; H.Đông: 100; H.Tiến: 100; Q.Nghĩa: 98,0;  Bắc Sơn: 94,3; Hải Sơn: 100; V.Thực: 100; V.Trung: 100</t>
  </si>
  <si>
    <t>Hải Xuân: 85; Vạn Ninh: 85; Hải Đông: 89; Hải Tiến: 90; Q.Nghĩa: 43;  Bắc Sơn: 24; Hải Sơn: 31; Vĩnh Thực: 35; Vĩnh Trung: 21</t>
  </si>
  <si>
    <t>Hải Xuân: 726; Vạn Ninh: 347; H.Đông: 0; H.Tiến: 150; Q.Nghĩa: 0;  Bắc Sơn: 61; Hải Sơn: 119; V.Thực: 106; V.Trung: 52</t>
  </si>
  <si>
    <t xml:space="preserve">Dịch vụ giống cây trồng, chăn nuôi, thủy nông, thủy lợi, BVTV; bán buôn: phân bón, thuốc trừ sâu và hóa chất khác sử dụng cho NN </t>
  </si>
  <si>
    <t>Hải Xuân: 8; Vạn Ninh: 0; Hải Đông: 0; Hải Tiến: 0; Q.Nghĩa: 21; Bắc Sơn: 6; Hải Sơn: 0; Vĩnh Thực: 0; Vĩnh Trung: 0</t>
  </si>
  <si>
    <t>Hải Xuân: 0; Vạn Ninh: 0; Hải Đông: 0; Hải Tiến: 0; Q.Nghĩa: 0; Bắc Sơn: 0; Hải Sơn: 0; Vĩnh Thực: 0; Vĩnh Trung: 0</t>
  </si>
  <si>
    <t>Hải Xuân: 2; Vạn Ninh: 0; Hải Đông: 33; Hải Tiến: 4; Q.Nghĩa: 0; Bắc Sơn: 0; Hải Sơn: 0; Vĩnh Thực: 0; Vĩnh Trung: 0</t>
  </si>
  <si>
    <t>Hải Xuân: 0,02; Vạn Ninh: 0; Hải Đông: 0,45; Hải Tiến: 0,05; Q.Nghĩa: 0; Bắc Sơn: 0; Hải Sơn: 0; Vĩnh Thực: 0; V.Trung: 0</t>
  </si>
  <si>
    <t>TÌNH HÌNH ANTT TRÊN ĐỊA BÀN</t>
  </si>
  <si>
    <t>Nghị quyết của Đảng ủy xã về giữ gìn ANTT</t>
  </si>
  <si>
    <t xml:space="preserve"> </t>
  </si>
  <si>
    <t>Hiện trạng  năm 2010</t>
  </si>
  <si>
    <t>Kết quả thực hiện 2011-2018</t>
  </si>
  <si>
    <t>KH thực hiện</t>
  </si>
  <si>
    <t>KH 2010 - 2015</t>
  </si>
  <si>
    <t>QUY HOẠCH</t>
  </si>
  <si>
    <t>Quy hoạch</t>
  </si>
  <si>
    <t>1.1. Có quy hoạch chung xây dựng xã được phê duyệt và được công bố công khai đúng thời hạn</t>
  </si>
  <si>
    <t>chưa</t>
  </si>
  <si>
    <t>Năm 2011-2013 có 09/09 xã đã hoàn thành quy hoạch Đề án xây dựng nông thôn mới được UBND thành phố phê duyệt
Trong năm 2019, sau khi thành phố hoàn thành các quy hoạch phân khu phù hợp với quy hoạch chung được thủ tướng chính phủ phê duyệt</t>
  </si>
  <si>
    <t>1.2. Ban hành quy định quản lý quy hoạch chung xây dựng xã và tổ chức thực hiện theo quy hoạch</t>
  </si>
  <si>
    <t>HẠ TẦNG KT - XH</t>
  </si>
  <si>
    <t>Giao thông</t>
  </si>
  <si>
    <t>2.1. Đường xã và đường từ trung tâm xã đến đường huyện được nhựa hóa hoặc bê tông hóa, đảm bảo ô tô đi lại thuận tiện quanh năm ( đạt 100%)</t>
  </si>
  <si>
    <t xml:space="preserve">Trải nhựa bê tông hóa 80%, còn 50% cấp phối </t>
  </si>
  <si>
    <t>Trong thời gian này nâng cấp, làm mới 06 tuyến với tổng chiều dài là 55,43km, Đến nay có 103,63km/103,63km được cứng hóa đạt 100%</t>
  </si>
  <si>
    <t>2.2. Đường trục thôn, bản và đường liên thôn, bản được cứng hóa, đảm bảo ô tô đị lại thuận tiện quan năm (xã loại I: 100%; xã loại II: 80%).</t>
  </si>
  <si>
    <t>Chưa đạt, chỉ đạt khoảng 20%</t>
  </si>
  <si>
    <t>Làm mới 46 tuyến, dài 76,73km; đến nay có 100,87 km/100,87km được cứng hóa đạt 100%</t>
  </si>
  <si>
    <t>2.3. Đường ngõ, xóm sạch và không lầy lội vào mùa mưa (loại I: 100%; loại II: 70%).</t>
  </si>
  <si>
    <t xml:space="preserve">9/9 xã chưa đạt, đường ngõ xóm sạch và không lầy lội vào mùa mưa các xã đạt gần 30%. </t>
  </si>
  <si>
    <t>Làm mới 52 tuyến, dài 67,3km; đến nay có 80,01 km/80,01 km được cứng hóa đạt 100%</t>
  </si>
  <si>
    <t xml:space="preserve">2.4. Đường trục chính nội đồng đảm bảo vận chuyển hàng hóa thuận tiện quanh năm (loại I: 100%; loại II: 60%). </t>
  </si>
  <si>
    <t>chưa được cứng hóa hoặc chưa có đường nội đồng, mới đạt 30%</t>
  </si>
  <si>
    <t xml:space="preserve">09 tuyến với tổng chiều dài là 10,3,  đến nay có 32,16 km được cứng hóa xe đi lại thuận tiện đạt 100% </t>
  </si>
  <si>
    <t>Thuỷ lợi</t>
  </si>
  <si>
    <t>3.1. Tỉ lệ diện tích đất sản xuất nông nghiệp được tưới và tiêu nước chủ động (loại I: &gt;90%, loại II: &gt;80%)</t>
  </si>
  <si>
    <t>Hệ thống trạm bơm nước, đập và hệ thống kênh mương dẫn nước chỉ  cung cấp được cho trên  50 % diện tích đất nông nghiệp, đê bao chống lũ xuống cấp nhiều chỗ bị nứt</t>
  </si>
  <si>
    <t xml:space="preserve">Tổng chiều dài kênh mương trên địa bàn 9 xã là 344,785km, trong giai đoạn làm mới, nâng cấp được 48,488km,  trong đó đã kiên cố hoá được 293,067/344,785 km (85%) </t>
  </si>
  <si>
    <t>3.2. Đảm bảo đủ điều kiện đáp ứng yêu cầu dân sinh và theo quy định về phòng chống thiên tai tại chỗ. (Đạt).</t>
  </si>
  <si>
    <t>Điện</t>
  </si>
  <si>
    <t>4.1. Hệ thống điện đạt chuẩn (Đạt)</t>
  </si>
  <si>
    <t xml:space="preserve">Cac tuyến hạ thế sử dụng dây trần, cột không đồng bộ, các điểm dân cư ở xa trung tâm điện không dẩm bảo chất lượng </t>
  </si>
  <si>
    <t xml:space="preserve">Thay thế cột điện hạ thế bằng cột bê tông .Đầu tư nâng cấp trạm biến áp, 09  xã có hệ thống điện đạt yêu cầu của ngành điện (100%), 100% người dân sử dụng điện thường xuyên an toàn  </t>
  </si>
  <si>
    <t>4.2. Tỷ lệ hộ sử dụng điện thường xuyên, an toàn từ các nguồn ( loại I &gt;99; loại II: 95%).</t>
  </si>
  <si>
    <t>Trường học</t>
  </si>
  <si>
    <t xml:space="preserve">Tỷ lệ trường học các cấp: mầm non, mẫu giáo, tiểu học, trung học cơ sở có cơ sở vật chất và thiết bị dạy học đạt chuẩn quốc gia (Loại I: 100%; loại II: &gt;70%). </t>
  </si>
  <si>
    <t>03 trường đạt chuẩn; Mầm non Bắc Sơn, Tiểu học Hải Tiến, Tiểu học Hải Xuân</t>
  </si>
  <si>
    <t>09 xã của thành phố Móng Cái  có 24 trường học : 09 trường mầm non, 06 trường THCS, 06 trường tiểu học, 03 trường liên cấp 1,2. 100% các trường học từ mầm non đến THCS được kiên cố hoá và cao tầng hoá, có 24/24 trường đạt chuẩn Quốc gia đạt 100%</t>
  </si>
  <si>
    <t>Cơ sở vật chất văn hoá</t>
  </si>
  <si>
    <t>6.1. Xã có nhà văn hóa hoặc hội trường đa năng và sân thể thao phục vụ sinh hoạt văn hóa, thể thao của toàn xã (đạt)</t>
  </si>
  <si>
    <t xml:space="preserve">9 xã có 56 nhà văn hóa, trong đó đủ điều  kiện để hoạt động, đạt chuẩn so với tiêu chuẩn đạt trên  70%.  </t>
  </si>
  <si>
    <t>Thành phố đầu tưmới 9 nhà văn hóa xã, sửa chữa, nâng cấp xây mới 13 nhà văn hoá thôn, Hiện nay 9 xã có 56 nhà văn hoá, khu thể thao thôn và 9 nhà văn hóa xã  đủ điều kiện để hoạt động, có trang thiết bị máy tính và kết nối Internet có tủ sách, đạt chuẩn theo quy định Bộ Văn hoá Thể thao và Du lịch</t>
  </si>
  <si>
    <t>6.2. Xã có điểm vui chơi, giải trí và thể thao cho trẻ em và người cao tuối theo quy định (có)</t>
  </si>
  <si>
    <t>6.3.Tỷ lệ thôn, bản có nhà văn hóa hoặc nơi sinh hoạt văn hóa, thể thao phục vụ cộng đồng (100%)</t>
  </si>
  <si>
    <t>Cơ sở hạ tầng thương mại nông thôn</t>
  </si>
  <si>
    <t>Có chợ nông thôn trong quy hoạch đạt chuẩn theo quy định hoặc có cơ sở bán lẻ hiện đại (qua cửa hàng) bao gồm: siêu thị hoặc cửa hàng tiện lợi đạt tiêu chuẩn theo quy định (đạt)</t>
  </si>
  <si>
    <t>09 xã có 2 chợ Hải Xuân, Hải Đông, không có nơi tập kết rác thải và không có ban quản lý chợ</t>
  </si>
  <si>
    <t>Thực hiện Chương trình xây dựng dựng nông thôn mới thành phố Móng Cái đã đưa dự án chợ Quảng Nghĩa và chợ Hải Sơn, chợ Vạn Ninh để kêu gọi đầu tư, đến nay chợ Quảng Nghĩa đang xây, dự kiến đi vào hoạt động trong năm 2019; 02 chợ còn lại hiện thành phố đan kêu gọi, thu hút đầu tư, trong đó chợ Vạn Ninh đang tiến hành đấu thầu. Hệ thống cửa hàng tiện ích trên địa bàn các xã đảm bảo đáp ứng đầy đủ nhu cầu tiêu dùng của nhân dân trên địa bàn.</t>
  </si>
  <si>
    <t>Thông tin và truyền thông</t>
  </si>
  <si>
    <t>8.1. Xã có điểm phục vụ bưu chính (đạt)</t>
  </si>
  <si>
    <t>03 xã đã có điểm phục vụ  bưu chính viễn thông, có dịch vụ truy cập Internet tại trung tâm song việc phủ sóng các mạng di động và truyền Internet đến khu dân cư chưa có</t>
  </si>
  <si>
    <t>Mạng lưới Internet phát triển rộng khắp, 09 xã có dịch vụ truy cập Intrernet, có hệ thống truyền dẫn ADSL và các cột tiếp sóng mạng di động cung cấp dịch vụ 3G đáp ứng nhu cầu thông tin.Trên địa bàn 09  xã đã có 56/56 nhà văn hóa thôn được lắp đặt internet.</t>
  </si>
  <si>
    <t>8.2. Có điểm phục vụ bưu chính viễn thông, internet (đạt)</t>
  </si>
  <si>
    <t xml:space="preserve">8.3. Xã có đài truyền thanh và hệ thống loa đến các thôn (Đạt 100%). </t>
  </si>
  <si>
    <t>8.4. Xã có ứng dụng công nghệ thông tin trong công tác quản lý, điều hành</t>
  </si>
  <si>
    <t xml:space="preserve">Chưa ứng dụng phần mềm điện tử trong quản lý văn bản, các xã chưa có điểm phục vụ công trực tuyến. </t>
  </si>
  <si>
    <t>9/9 xã có áp dụng công nghệ thông tin trong quản lý điều hành, có trang thông tin điện tử thành phần trên Cổng thông tin điện tử của thành phố để cung cấp thông tin về xã và dịch vụ công trực tuyến, hệ số máy tình/cán bộ công chức xã =1; các xã có hoạt động chuyên môn nghiệp vụ ứng dụng công nghệ thông tin vào quản lý lĩnh vực: lĩnh vực Tư pháp và hộ tịch, lĩnh vực lao động thương binh xã hội...</t>
  </si>
  <si>
    <t>8.5. Xã có phủ sóng truyền hình QTV</t>
  </si>
  <si>
    <t>Chưa có</t>
  </si>
  <si>
    <t>9/9 xã đều được phủ sóng QTV</t>
  </si>
  <si>
    <t>Nhà ở dân cư</t>
  </si>
  <si>
    <t>9.1. Nhà tạm, nhà dột nát (Không có - đạt)</t>
  </si>
  <si>
    <t>Không đạt (trên địa bàn các xã có nhà tạm, nhà dột nát)</t>
  </si>
  <si>
    <t xml:space="preserve">Năm 2017 thành phố đã hoàn thành chương trình xóa nhà tạm, nhà dột nát, đến nay trên địa bàn các xã không còn nhà tạm, nhà dột nát. Giai đoạn 2011 - 2017 hỗ trợ xây mới, nâng cấp 317 nhà với tổng kinh phí 9.048 triệu đồng. </t>
  </si>
  <si>
    <t>9.2. Tỷ lệ hộ có nhà ở đạt tiêu chuẩn Bộ XD (loại I: &gt;90%, loại II &gt;75%)</t>
  </si>
  <si>
    <t xml:space="preserve">Chưa đạt 9/9 xã có trên 50% số nhà đạt tiêu chuẩn của bộ xây dựng. </t>
  </si>
  <si>
    <t xml:space="preserve">Xã Hải Tiến 1489 nhà/1546 nhà, Hải Đông 1894/1920 nhà, Hải Xuân 2017/2052 nhà, Vạn Ninh 1659/1746 nhà, Bắc Sơn 255/320 nhà, Hải Sơn 268/327 nhà, Vĩnh Thực 668/721 nhà, Vĩnh Trung 416/426 nhà, Quảng Nghĩa 700/872 nhà.  </t>
  </si>
  <si>
    <t>KINH TẾ VÀ TỔ CHỨC SẢN XUẤT</t>
  </si>
  <si>
    <t>Thu nhập</t>
  </si>
  <si>
    <t xml:space="preserve">Thu nhập bình quân đầu người khu vực nông thôn đến năm 2020 (triệu đồng/người). </t>
  </si>
  <si>
    <t>17,58 triệu/người/năm</t>
  </si>
  <si>
    <t>41,9 triệu đồng/người/năm</t>
  </si>
  <si>
    <t>Hộ nghèo</t>
  </si>
  <si>
    <t>Tỷ lệ hộ nghèo đa chiều giai đoạn 2016 - 2020 (Loại I&lt;2%; loại II &lt;12%)</t>
  </si>
  <si>
    <t>Năm 2010 09 xã có 136 hộ nghèo</t>
  </si>
  <si>
    <t>Lao động có việc làm</t>
  </si>
  <si>
    <t xml:space="preserve">Tỷ lệ người có việc làm trên dân số trong độ tuổi lao động có khả năng tham gia lao động. </t>
  </si>
  <si>
    <t>Tổng số lao động trong độ tuổi làm việc trong lĩnh vực nông lâm, ngư nghiệp là 85,3%</t>
  </si>
  <si>
    <t>Cơ cấu lao động trên địa bàn thành phố có sự chuyển đổi tích cực về khu vực và ngành nghề. Tổng số lao động trong độ tuổi của 09 xã là 21.260 người. Trong đó: lao động nông, lâm, ngư nghiệp chiếm 57,87%, lao động phi nông nghiệp chiếm 42,13%, tỷ lệ lao động có việc làm thường xuyên là 97,87%</t>
  </si>
  <si>
    <t>Tổ chức sản xuất</t>
  </si>
  <si>
    <t>13.1.Xã có hợp tác xã hoạt động theo đúng quy định của Luật hợp tác xã năm 2012 (đạt)</t>
  </si>
  <si>
    <t>Có 05 HTX hoạt động theo quy định cũ (Hải Xuân 01, Hải Đông 01, Hải Tiến 01, Quảng Nghĩa 01, Vĩnh Trung 01</t>
  </si>
  <si>
    <t xml:space="preserve">Trên địa bàn 9 xã có 09 hợp tác xã; 15  tổ hợp tác chăn nuôi gia súc, gia cầm, NTTS, trồng cây rau màu; </t>
  </si>
  <si>
    <t>13.2 Xã có mô hình liên kết sản xuất gắn với tiêu thụ nông sản chủ lực đảm bảo bền vững. (đạt)</t>
  </si>
  <si>
    <t>Các sản phẩm lợi thế, chủ lực của các xã đều có hợp đồng bao tiêu sản phẩm của các hợp tác xã, doanh nghiệp, hộ kinh doanh với các hộ dân: hợp đồng thu mua thủy sản trên địa bàn các xã: Vĩnh Thực, Vĩnh Trung, Hải Đông, Hải Tiến, Hải Xuân, Vạn Ninh; hợp đồng thu mua gia súc, gia cầm: Bắc Sơn, Quảng Nghĩa, hợp đồng mua cây màu, cây ngô chăn nuôi bò: Quảng Nghĩa, Hải Sơn; hợp đồng mua cây thu mua gỗ sản phẩm từ lâm nghiệp.</t>
  </si>
  <si>
    <t>VĂN HÓA - XÃ HỘI - MÔI TRƯỜNG</t>
  </si>
  <si>
    <t>Giáo dục và đào tạo</t>
  </si>
  <si>
    <t>14.1. Phổ cập giáo dục mầm non cho trẻ 5 tuổi, xóa mù chữ, phổ cập giáo dục tiểu học đúng độ tuổi; phổ cấp giáo dục tủng học cơ sở  (Đạt)</t>
  </si>
  <si>
    <t>75,1%</t>
  </si>
  <si>
    <t>Duy trì 100% xã giữ vững phổ cập giáo dục mầm non cho trẻ 5 tuổi, phổ cập giáo dục tiểu học đúng độ tuổi và phổ cập giáo dục THCS</t>
  </si>
  <si>
    <t>14.2. Tỷ lệ học sinh tốt nghiệp THCS được tiếp tục học trung học (phổ thông, bổ túc, học nghề) (Loại I: &gt;90%; Loại II: &gt;70%)</t>
  </si>
  <si>
    <t>50% số học sinh tôt nghiệp THCS được tiếp tục học trung học phổ thông , bổ túc, học nghề</t>
  </si>
  <si>
    <t>Tỷ lệ học sinh tốt nghiệp THCS được tiếp tục học trung học. Toàn thành phố có 498/534 học sinh tốt nghiệp THCS được tiếp tục học trung học đạt 93,26%. Tỷ lệ tốt nghiệp lớp 9 đạt 99,7%. Tỷ lệ tốt nghiệp THPT đạt 96,8%</t>
  </si>
  <si>
    <t>14.3. Tỷ lệ lao động qua đào tạo (xã loại I</t>
  </si>
  <si>
    <t>Tỷ lệ lao động qua đào tạo thấp 31,4%  tổng số lao động</t>
  </si>
  <si>
    <t>Tỷ lệ lao động qua đào tạo: hiện 09 xã có 9488/20838 lao động  (đạt tỷ lệ 45,53%)</t>
  </si>
  <si>
    <t>Y tế</t>
  </si>
  <si>
    <t>15.1. Tỷ lệ người dân tham gia các hình thức bảo hiểm y tế (&gt;85%)</t>
  </si>
  <si>
    <t>Tỷ lệ người dân tham gia bảo hiểm y tế 51%</t>
  </si>
  <si>
    <t>Tỷ lệ ngườidân tham gia BHYT 91,7%</t>
  </si>
  <si>
    <t>15.2.Xã đạt tiêu chí quốc gia về y tế (Đạt)</t>
  </si>
  <si>
    <t>Đạt chuẩn</t>
  </si>
  <si>
    <t>Tiếp tục duy trì y tế đạt chuẩn quốc gia</t>
  </si>
  <si>
    <t>15.3. Tỷ lệ trẻ em dưới 5 tuổi bị suy dinh dưỡng thấp còi (chiều cao theo tuổi)</t>
  </si>
  <si>
    <t>Chưa có chỉ tiêu</t>
  </si>
  <si>
    <t>Tỷ lệ trẻ em suy dinh dưỡng thể thấp còi trên địa bàn 9 xã là 324/3674 bằng 8,82%, thấp hơn mức bình quân chung của tỉnh Quảng Ninh</t>
  </si>
  <si>
    <t>Văn hoá</t>
  </si>
  <si>
    <t>Tỉ lệ thôn, bản, ấp đạt tiêu chuẩn văn hóa theo quy định (&gt;70%)</t>
  </si>
  <si>
    <t>Trên địa bàn 09 xã có 37/57 thôn đạt danh hiệu thôn văn hóa 64,9 %</t>
  </si>
  <si>
    <t>Đến nay 9  xã có 42/56 thôn, đạt tỷ lệ 75% luôn giữ vững danh hiệu thôn văn hoá và văn hoá tiên tiến, 89,63% số gia đình đạt tiêu chuẩn gia đình văn hoá</t>
  </si>
  <si>
    <t>Môi trường và an toàn thực p hẩm</t>
  </si>
  <si>
    <t xml:space="preserve">17.1. Tỷ  lệ hộ được sử dụng nước hợp vệ sinh và nước sạch theo quy định (xã loại I: Nước hợp vệ sinh &gt;98%; nước sạch &gt;65%; xã Loại II: Nước sạch &gt;90%, nước hợp vệ sinh &gt;50%). </t>
  </si>
  <si>
    <t xml:space="preserve"> Tỷ lệ hộ dân được sử dựng nước sạch hợp vệ sinh là 98,6%</t>
  </si>
  <si>
    <t xml:space="preserve">17.2. Tỷ lệ cơ sở sản xuất - kinh doanh, nuôi trồng thủy sản, làng nghề đảm bảo quy định về bảo vệ môi trường (100%) </t>
  </si>
  <si>
    <t xml:space="preserve"> Các cơ sở SX-KD trên địa bàn chưa có đề án bảo vệ môi trường</t>
  </si>
  <si>
    <t>Các cơ sở kinh doanh đạt vệ sinh môi trường 09/09 xã đạt</t>
  </si>
  <si>
    <t>17.3.Xây dựng cảnh quan môi trường xanh - sạch - đẹp (Đạt)</t>
  </si>
  <si>
    <t>Không có các hoạt động suy giảm môi trường</t>
  </si>
  <si>
    <t xml:space="preserve">Không có các hoạt động suy giảm môi trường và có các hoạt động phát triển môi trường xanh, sạch đẹp, đặc biệt thực hiện tốt phong trào xây dựng thôn đạt chuẩn nông thôn mới, vườn đạt chuẩn nông thôn mới và hộ nông thôn mới kiểu mẫu. </t>
  </si>
  <si>
    <t>17.4. Mai táng phù hợp với quy định và theo quy hoạch (Đạt)</t>
  </si>
  <si>
    <t>Chưa có nghĩa trang nhân dân được Quy hoạch</t>
  </si>
  <si>
    <t>Nghĩa trang được xây dựng theo quy hoạch: cả 9 xã Quảng Nghĩa, Hải Tiến, Hải Đông, Hải Xuân đã hoàn thành quy hoạch lập nghĩa trang nhân dân xã.</t>
  </si>
  <si>
    <t>17.5.Chất thải rắn trên địa bàn và nước thải khu dân cư tập trung, cơ sở sản xuất - kinh doanh được thu gom, xử lý theo quy định (Đạt)</t>
  </si>
  <si>
    <t>Chưa triển khai thu gom, xử lý rác thải, nước thải theo quy định</t>
  </si>
  <si>
    <t xml:space="preserve">Chất thải và nước thải được thu gom và xử lý theo quy định ; xây dựng 01 công trình xử lý chất thải của xã, 03 xã có bãi thu gom rác thải tạm thời. Các xã đều có điểm thu gom, tập kết rác thải đảm bảo quy định để thu gom rác . </t>
  </si>
  <si>
    <t>17.6.Tỷ lệ hộ có nhà tiêu, nhà tắm, bể chứa nước sinh hoạt hợp vệ sinh và đảm bảo 03 sạch (Xã loại I&gt;90%; Xã loại II&gt;70%).</t>
  </si>
  <si>
    <t>Chưa đạt</t>
  </si>
  <si>
    <t>Năm 2018, trên địa bàn 9 xã tỷ lệ hộ dân có nhà tiêu, nhà tắm, bể chứa nước sinh hoạt hợp vệ sinh và đảm bảo 3 sạch đạt 94,1%</t>
  </si>
  <si>
    <t>17.7. Tỷ lệ hộ chăn nuôi có chuồng trại chăn nuôi có chuồng trại chăn nuôi đảm bảo vệ sinh môi trường ( (Xã loại I&gt;80%; Xã loại II&gt;60%).</t>
  </si>
  <si>
    <t>Năm 2018</t>
  </si>
  <si>
    <t>17.8. Tỉ lệ hộ gia đình và cơ sở sản xuất, kinh doanh thực phẩm tuân thủ các quy định về đảm bảo an toàn thực phẩm (100%)</t>
  </si>
  <si>
    <t>Tất cả các hộ sản xuất, kinh doanh thực phẩm ban đầu trên địa bàn 9 xã đều thực hiện ký cam kết sản xuất sản phẩm an toàn theo quy định; Thực hiện xác nhận kiến thức an toàn thực phẩm và cấp giấy chứng nhận an toàn thực phẩm cho 100% các hộ sản xuất, kinh doanh trên địa bàn.</t>
  </si>
  <si>
    <t>HỆ THỐNG CHÍNH TRỊ</t>
  </si>
  <si>
    <t xml:space="preserve">Hệ thống chính trị và tiếp cận pháp luật
</t>
  </si>
  <si>
    <t>18.1. Cán bộ công chức xã đạt chuẩn (Đạt)</t>
  </si>
  <si>
    <t>65,2% cán bộ xã đạt chuẩn</t>
  </si>
  <si>
    <t xml:space="preserve">Tổng số cán bộ, công chức 9 xã trên địa bàn thành phố là 182 người. Trong đó trình độ chuyên môn: Thạc sỹ 6 người chiếm tỉ lệ 3,3%; Đại học 111 người chiếm tỉ lệ 61,0%, Cao đẳng - Trung cấp 65 người chiếm tỉ lệ 35,7%.Trình độ chính trí: cao cấp, cử nhân 8 người chiếm tỉ lệ 4,4%; trung cấp, sơ cấp 174 người chiếm tỉ lệ 95,6%. </t>
  </si>
  <si>
    <t>18.2. Có đủ các tổ chức trong hệ thống chính trị cơ sở theo quy định (đạt)</t>
  </si>
  <si>
    <t xml:space="preserve">Có đủ các tổ chức chính trị cơ sở theo quy định </t>
  </si>
  <si>
    <t>Hiện các xã có đủ các tổ chức trong hệ thống chính trị ở xã theo Quy định bao gồm: Đảng uỷ, Hội đồng nhân dân, Uỷ ban nhân dân, Uỷ ban Mặt trận tổ quốc, Đoàn Thanh niên Cộng sản Hồ Chí Minh, Hội Liên hiệp phụ nữ, Hội Nông dân, Hội cựu chiến binh</t>
  </si>
  <si>
    <t>18.3. Đảng bộ, chính quyền xã đạt tiêu chuẩn “trong sạch, vững mạnh” (đạt)</t>
  </si>
  <si>
    <t>Tổ chức</t>
  </si>
  <si>
    <t>Đảng bộ thành phố Móng Cái  đạt Đảng bộ "trong sạch, vững mạnh". Đảng bộ, chính quyền 09 xã nhiều năm liên tục được công nhận trong sạch vững mạnh. Uỷ ban MTTQ và các đoàn thể 09  xã hàng năm đều đạt danh hiệu từ tiên tiến trở lên</t>
  </si>
  <si>
    <t>18.4. Các tổ chức chính trị - xã hội  của xã đều đạt danh hiệu tiên tiến trở lên</t>
  </si>
  <si>
    <t xml:space="preserve"> các tổ chức chính trị của xã đều đạt danh hiệu tiên tiến</t>
  </si>
  <si>
    <t>Đảng bộ thành phố Móng Cái đạt Đảng bộ "trong sạch, vững mạnh". Đảng bộ, chính quyền 09  xã nhiều năm liên tục được công nhận trong sạch vững mạnh. Uỷ ban MTTQ và các đoàn thể 09 xã hàng năm đều đạt danh hiệu từ tiên tiến trở lên</t>
  </si>
  <si>
    <t xml:space="preserve">18.5. Xã đạt chuẩn tiếp cận pháp luật theo quy định (Đạt). </t>
  </si>
  <si>
    <t>Chưa đánh giá</t>
  </si>
  <si>
    <t xml:space="preserve">Năm 2018 thành phố có 9/9 xã đạt tiêu chuẩn tiếp cận pháp luật hteo quy định. </t>
  </si>
  <si>
    <t xml:space="preserve">18.6. Đảm bảo bình đẳng giới và phòng chống bạo lực gia đình; bảo vệ và hỗ trợ những người dễ bị tổn thương trong các lĩnh vực của gia đình và đời sống xã hội (Đạt) </t>
  </si>
  <si>
    <t xml:space="preserve">9/9 xã có tỷ lệ cán bộ nữ tham gia cấp ủy chiếm 15%; có cán bộ nữ tham gia ban thường vụ cấp xã; 9/9 xã thành lập và duy trì hoạt động của Ban chỉ đạo công tác gia đình cấp xã và nhóm phòng chống bạo lực gia đình ở các thôn xóm; giai đoạn 2016 - 2018 có 9/9 xã đạt chỉ tiêu này. </t>
  </si>
  <si>
    <t>Quốc phòng và An ninh</t>
  </si>
  <si>
    <t>19.1. Xây dựng lực lượng dân quân "vững mạnh, rộng khắp" và hoàn thành các chỉ tiêu quốc phòng (Đạt)</t>
  </si>
  <si>
    <t xml:space="preserve">Giai đoạn 2016 - 2018 có 9/9 xã trên địa bàn đều đạt tiêu chí theo quy định. </t>
  </si>
  <si>
    <t>19.2. Xã đạt chuẩn an toàn về an ninh, trật tự xã hội và đảm bảo bình yêu: không có khiếu kiện đông người kéo dài; không để xảy ra trọng án; tội phạm và tệ nạn xã hội (ma túy, trộm cắp, cờ bạc, nghiện hút) được kiềm chế, giảm liên tục so với các năm trước (Đạt)</t>
  </si>
  <si>
    <t>An ninh trật tự xã được giữ vững</t>
  </si>
  <si>
    <t>Tình hình an ninh trật tự toàn xã hội trên địa bàn 09 xã luôn được giữ vững ổn định, không để xảy ra điểm nóng và các vụ việc phức tạp liên quan đến quốc phòng, an ninh Quốc gia</t>
  </si>
  <si>
    <t>BIỂU 11: TỔNG HỢP ĐÁNH GIÁ HIỆN TRẠNG NÔNG THÔN MỚI</t>
  </si>
  <si>
    <t>Năm 2018  giảm xuống còn 89 hộ nghèo. Trong đó Xã Hải Xuân còn 0,87% (18/2058hộ).Xã Vạn Ninh  còn 0,62% (11/1786 hộ ), Xã Hải Đông còn 0,44% (11/2000 hộ)
Xã Hải Tiến còn 0,92% (15/1635hộ) ,Xã Quảng Nghĩa  còn 1,83% (16/872 hộ), Xã Vĩnh Trung còn 0,69% (3/432 hộ)
Xã Vĩnh Thực còn 0,75% (6/801 hộ; Xã Bắc Sơn còn 1,08% (4/372hộ); Xã Hải Sơn  còn 1,49% (05/336 hộ)</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</si>
</sst>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_);_(* \(#,##0.0\);_(* &quot;-&quot;??_);_(@_)"/>
    <numFmt numFmtId="173" formatCode="0.0"/>
    <numFmt numFmtId="174" formatCode="_(* #,##0.0_);_(* \(#,##0.0\);_(* &quot;-&quot;?_);_(@_)"/>
    <numFmt numFmtId="175" formatCode="#,##0.0"/>
    <numFmt numFmtId="176" formatCode="#,##0\ _₫"/>
    <numFmt numFmtId="177" formatCode="0.0;[Red]0.0"/>
    <numFmt numFmtId="178" formatCode="0;[Red]0"/>
    <numFmt numFmtId="179" formatCode="&quot;$&quot;#,##0.0"/>
    <numFmt numFmtId="180" formatCode="#,##0.000"/>
    <numFmt numFmtId="181" formatCode="#,##0.000;[Red]#,##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63">
    <font>
      <sz val="10"/>
      <name val="Arial"/>
      <family val="0"/>
    </font>
    <font>
      <sz val="11"/>
      <color indexed="8"/>
      <name val="Calibri"/>
      <family val="2"/>
    </font>
    <font>
      <sz val="12"/>
      <name val="Times New Roman"/>
      <family val="1"/>
    </font>
    <font>
      <b/>
      <sz val="12"/>
      <name val="Times New Roman"/>
      <family val="1"/>
    </font>
    <font>
      <b/>
      <sz val="13"/>
      <name val="Times New Roman"/>
      <family val="1"/>
    </font>
    <font>
      <sz val="13"/>
      <name val="Times New Roman"/>
      <family val="1"/>
    </font>
    <font>
      <sz val="10"/>
      <name val="Times New Roman"/>
      <family val="1"/>
    </font>
    <font>
      <sz val="8"/>
      <name val="Arial"/>
      <family val="2"/>
    </font>
    <font>
      <i/>
      <sz val="13"/>
      <name val="Times New Roman"/>
      <family val="1"/>
    </font>
    <font>
      <u val="single"/>
      <sz val="10"/>
      <color indexed="12"/>
      <name val="Arial"/>
      <family val="2"/>
    </font>
    <font>
      <u val="single"/>
      <sz val="10"/>
      <color indexed="36"/>
      <name val="Arial"/>
      <family val="2"/>
    </font>
    <font>
      <sz val="13"/>
      <name val="Arial"/>
      <family val="2"/>
    </font>
    <font>
      <b/>
      <i/>
      <sz val="13"/>
      <name val="Times New Roman"/>
      <family val="1"/>
    </font>
    <font>
      <sz val="11"/>
      <name val="Times New Roman"/>
      <family val="1"/>
    </font>
    <font>
      <sz val="14"/>
      <name val="Times New Roman"/>
      <family val="1"/>
    </font>
    <font>
      <b/>
      <sz val="14"/>
      <name val="Times New Roman"/>
      <family val="1"/>
    </font>
    <font>
      <i/>
      <sz val="14"/>
      <name val="Times New Roman"/>
      <family val="1"/>
    </font>
    <font>
      <i/>
      <sz val="12"/>
      <name val="Times New Roman"/>
      <family val="1"/>
    </font>
    <font>
      <vertAlign val="superscript"/>
      <sz val="13"/>
      <name val="Times New Roman"/>
      <family val="1"/>
    </font>
    <font>
      <sz val="11"/>
      <color indexed="8"/>
      <name val="Times New Roman"/>
      <family val="1"/>
    </font>
    <font>
      <sz val="10"/>
      <color indexed="8"/>
      <name val="Arial"/>
      <family val="2"/>
    </font>
    <font>
      <i/>
      <sz val="11"/>
      <name val="Times New Roman"/>
      <family val="1"/>
    </font>
    <font>
      <b/>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
      <color indexed="10"/>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rgb="FFFF0000"/>
      <name val="Times New Roman"/>
      <family val="1"/>
    </font>
    <font>
      <b/>
      <sz val="11"/>
      <color theme="1"/>
      <name val="Times New Roman"/>
      <family val="1"/>
    </font>
    <font>
      <sz val="11"/>
      <color rgb="FFFF0000"/>
      <name val="Times New Roman"/>
      <family val="1"/>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right/>
      <top/>
      <bottom style="thin"/>
    </border>
    <border>
      <left style="thin"/>
      <right style="thin"/>
      <top style="hair"/>
      <bottom style="thin"/>
    </border>
    <border>
      <left style="thin"/>
      <right/>
      <top/>
      <bottom/>
    </border>
    <border>
      <left/>
      <right/>
      <top style="thin"/>
      <bottom style="thin"/>
    </border>
    <border>
      <left style="thin"/>
      <right style="thin"/>
      <top/>
      <bottom style="hair"/>
    </border>
    <border>
      <left style="thin"/>
      <right style="thin"/>
      <top>
        <color indexed="63"/>
      </top>
      <bottom style="thin"/>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2">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vertical="center"/>
    </xf>
    <xf numFmtId="0" fontId="5" fillId="0" borderId="11"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4" fillId="0" borderId="10" xfId="0" applyFont="1" applyBorder="1" applyAlignment="1">
      <alignment vertical="center" wrapText="1"/>
    </xf>
    <xf numFmtId="0" fontId="4" fillId="0" borderId="0" xfId="0" applyFont="1" applyAlignment="1">
      <alignment vertical="center"/>
    </xf>
    <xf numFmtId="43" fontId="5" fillId="0" borderId="0" xfId="42" applyFont="1" applyAlignment="1">
      <alignment horizontal="center" vertical="center" wrapText="1"/>
    </xf>
    <xf numFmtId="43" fontId="5"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10" xfId="0" applyFont="1" applyBorder="1" applyAlignment="1">
      <alignment vertical="center"/>
    </xf>
    <xf numFmtId="0" fontId="5" fillId="0" borderId="11" xfId="0" applyFont="1" applyBorder="1" applyAlignment="1">
      <alignment vertical="center" wrapText="1"/>
    </xf>
    <xf numFmtId="49" fontId="3"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4" fillId="0" borderId="0" xfId="62" applyFont="1" applyAlignment="1">
      <alignment horizontal="center" vertical="center" wrapText="1"/>
      <protection/>
    </xf>
    <xf numFmtId="0" fontId="5" fillId="0" borderId="0" xfId="58" applyFont="1" applyAlignment="1">
      <alignment horizontal="center" vertical="center" wrapText="1"/>
      <protection/>
    </xf>
    <xf numFmtId="0" fontId="4" fillId="0" borderId="10" xfId="62" applyFont="1" applyBorder="1" applyAlignment="1">
      <alignment horizontal="center" vertical="center" wrapText="1"/>
      <protection/>
    </xf>
    <xf numFmtId="49" fontId="5" fillId="0" borderId="0" xfId="62" applyNumberFormat="1" applyFont="1" applyAlignment="1">
      <alignment horizontal="center" vertical="center" wrapText="1"/>
      <protection/>
    </xf>
    <xf numFmtId="0" fontId="5" fillId="0" borderId="0" xfId="62" applyFont="1" applyAlignment="1">
      <alignment horizontal="center" vertical="center" wrapText="1"/>
      <protection/>
    </xf>
    <xf numFmtId="0" fontId="8" fillId="0" borderId="0" xfId="62" applyFont="1" applyAlignment="1">
      <alignment horizontal="center" vertical="center" wrapText="1"/>
      <protection/>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8"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5" xfId="0" applyFont="1" applyBorder="1" applyAlignment="1">
      <alignment vertical="center" wrapText="1"/>
    </xf>
    <xf numFmtId="0" fontId="5" fillId="0" borderId="15" xfId="0" applyFont="1" applyBorder="1" applyAlignment="1">
      <alignment vertical="center" wrapText="1"/>
    </xf>
    <xf numFmtId="0" fontId="5" fillId="0" borderId="14" xfId="0" applyFont="1" applyBorder="1" applyAlignment="1">
      <alignment horizontal="center" vertical="center" wrapText="1"/>
    </xf>
    <xf numFmtId="43" fontId="4" fillId="0" borderId="10" xfId="42" applyFont="1" applyBorder="1" applyAlignment="1">
      <alignment horizontal="center" vertical="center" wrapText="1"/>
    </xf>
    <xf numFmtId="0" fontId="4" fillId="0" borderId="0" xfId="0" applyFont="1" applyAlignment="1">
      <alignment horizontal="center" vertical="center"/>
    </xf>
    <xf numFmtId="49" fontId="5" fillId="0" borderId="0" xfId="0" applyNumberFormat="1" applyFont="1" applyAlignment="1">
      <alignment vertical="center"/>
    </xf>
    <xf numFmtId="0" fontId="5" fillId="0" borderId="0" xfId="0" applyFont="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180" fontId="5" fillId="0" borderId="0" xfId="0" applyNumberFormat="1" applyFont="1" applyAlignment="1">
      <alignment vertical="center" wrapText="1"/>
    </xf>
    <xf numFmtId="0" fontId="5" fillId="32" borderId="0" xfId="0" applyFont="1" applyFill="1" applyAlignment="1">
      <alignment horizontal="center" vertical="center" wrapText="1"/>
    </xf>
    <xf numFmtId="0" fontId="5" fillId="0" borderId="0" xfId="0" applyFont="1" applyAlignment="1">
      <alignment horizontal="right" vertical="center" wrapText="1"/>
    </xf>
    <xf numFmtId="173" fontId="5" fillId="0" borderId="0" xfId="0" applyNumberFormat="1" applyFont="1" applyAlignment="1">
      <alignment horizontal="center" vertical="center" wrapText="1"/>
    </xf>
    <xf numFmtId="173" fontId="5" fillId="0" borderId="0" xfId="0" applyNumberFormat="1" applyFont="1" applyAlignment="1">
      <alignment horizontal="right" vertical="center" wrapText="1"/>
    </xf>
    <xf numFmtId="173" fontId="5" fillId="32" borderId="0" xfId="0" applyNumberFormat="1" applyFont="1" applyFill="1" applyAlignment="1">
      <alignment horizontal="center" vertical="center" wrapText="1"/>
    </xf>
    <xf numFmtId="3" fontId="5" fillId="0" borderId="0" xfId="0" applyNumberFormat="1" applyFont="1" applyAlignment="1">
      <alignment vertical="center" wrapText="1"/>
    </xf>
    <xf numFmtId="3" fontId="5" fillId="0" borderId="0" xfId="58" applyNumberFormat="1" applyFont="1" applyAlignment="1">
      <alignment horizontal="center" vertical="center" wrapText="1"/>
      <protection/>
    </xf>
    <xf numFmtId="3" fontId="4" fillId="0" borderId="0" xfId="0" applyNumberFormat="1" applyFont="1" applyAlignment="1">
      <alignmen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174" fontId="5" fillId="0" borderId="0" xfId="0" applyNumberFormat="1" applyFont="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3"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4" fillId="0" borderId="10" xfId="0" applyFont="1" applyBorder="1" applyAlignment="1">
      <alignment horizontal="right" vertical="center" wrapText="1"/>
    </xf>
    <xf numFmtId="0" fontId="5" fillId="0" borderId="10" xfId="0" applyFont="1" applyBorder="1" applyAlignment="1" quotePrefix="1">
      <alignment horizontal="center" vertical="center" wrapText="1"/>
    </xf>
    <xf numFmtId="0" fontId="5" fillId="0" borderId="10" xfId="0" applyFont="1" applyBorder="1" applyAlignment="1" quotePrefix="1">
      <alignment vertical="center" wrapText="1"/>
    </xf>
    <xf numFmtId="0" fontId="5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0" fontId="5" fillId="0" borderId="10" xfId="0" applyFont="1" applyBorder="1" applyAlignment="1">
      <alignment horizontal="left" vertical="center"/>
    </xf>
    <xf numFmtId="0" fontId="15" fillId="0" borderId="0" xfId="0" applyFont="1" applyAlignment="1">
      <alignment horizontal="center" vertical="center" wrapText="1"/>
    </xf>
    <xf numFmtId="43" fontId="8" fillId="0" borderId="10" xfId="42" applyFont="1" applyBorder="1" applyAlignment="1">
      <alignment horizontal="center" vertical="center" wrapText="1"/>
    </xf>
    <xf numFmtId="0" fontId="4" fillId="0" borderId="10" xfId="0" applyFont="1" applyBorder="1" applyAlignment="1">
      <alignment horizontal="left" vertical="center"/>
    </xf>
    <xf numFmtId="2" fontId="4" fillId="0" borderId="10" xfId="42" applyNumberFormat="1" applyFont="1" applyBorder="1" applyAlignment="1">
      <alignment horizontal="center" vertical="center" wrapText="1"/>
    </xf>
    <xf numFmtId="43" fontId="4" fillId="0" borderId="10" xfId="42"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xf>
    <xf numFmtId="2" fontId="5" fillId="0" borderId="10" xfId="42" applyNumberFormat="1" applyFont="1" applyBorder="1" applyAlignment="1">
      <alignment horizontal="center" vertical="center" wrapText="1"/>
    </xf>
    <xf numFmtId="43" fontId="5" fillId="0" borderId="10" xfId="42" applyFont="1" applyBorder="1" applyAlignment="1">
      <alignment horizontal="center" vertical="center" wrapText="1"/>
    </xf>
    <xf numFmtId="43" fontId="5" fillId="0" borderId="10" xfId="42" applyFont="1" applyBorder="1" applyAlignment="1">
      <alignment horizontal="left" vertical="center" wrapText="1"/>
    </xf>
    <xf numFmtId="2" fontId="5" fillId="0" borderId="10" xfId="0" applyNumberFormat="1" applyFont="1" applyBorder="1" applyAlignment="1">
      <alignment horizontal="center" vertical="center" wrapText="1"/>
    </xf>
    <xf numFmtId="0" fontId="4" fillId="0" borderId="10" xfId="42"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174" fontId="4" fillId="0" borderId="10" xfId="42" applyNumberFormat="1" applyFont="1" applyBorder="1" applyAlignment="1">
      <alignment horizontal="center" vertical="center" wrapText="1"/>
    </xf>
    <xf numFmtId="4" fontId="5" fillId="0" borderId="10" xfId="42" applyNumberFormat="1" applyFont="1" applyBorder="1" applyAlignment="1">
      <alignment horizontal="center" vertical="center" wrapText="1"/>
    </xf>
    <xf numFmtId="172" fontId="4" fillId="0" borderId="10" xfId="42" applyNumberFormat="1" applyFont="1" applyBorder="1" applyAlignment="1">
      <alignment horizontal="center" vertical="center" wrapText="1"/>
    </xf>
    <xf numFmtId="172" fontId="5" fillId="0" borderId="10" xfId="42" applyNumberFormat="1" applyFont="1" applyBorder="1" applyAlignment="1">
      <alignment horizontal="center" vertical="center" wrapText="1"/>
    </xf>
    <xf numFmtId="0" fontId="4" fillId="0" borderId="10" xfId="0" applyFont="1" applyBorder="1" applyAlignment="1">
      <alignment horizontal="left" vertical="center"/>
    </xf>
    <xf numFmtId="2" fontId="4" fillId="0" borderId="10" xfId="42" applyNumberFormat="1" applyFont="1" applyBorder="1" applyAlignment="1">
      <alignment horizontal="center" vertical="center" wrapText="1"/>
    </xf>
    <xf numFmtId="43" fontId="4" fillId="0" borderId="10" xfId="42" applyFont="1" applyBorder="1" applyAlignment="1">
      <alignment horizontal="center" vertical="center" wrapText="1"/>
    </xf>
    <xf numFmtId="43" fontId="4" fillId="0" borderId="10" xfId="42" applyFont="1" applyBorder="1" applyAlignment="1">
      <alignment horizontal="left" vertical="center" wrapText="1"/>
    </xf>
    <xf numFmtId="1" fontId="5" fillId="0" borderId="10" xfId="42"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quotePrefix="1">
      <alignment horizontal="center" vertical="center"/>
    </xf>
    <xf numFmtId="0" fontId="8"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vertical="center" wrapText="1"/>
    </xf>
    <xf numFmtId="175" fontId="2" fillId="0" borderId="10" xfId="0" applyNumberFormat="1"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8"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173" fontId="5" fillId="0" borderId="10" xfId="0" applyNumberFormat="1" applyFont="1" applyBorder="1" applyAlignment="1">
      <alignment horizontal="right" vertical="center" wrapText="1"/>
    </xf>
    <xf numFmtId="173" fontId="4" fillId="0" borderId="10" xfId="0" applyNumberFormat="1" applyFont="1" applyBorder="1" applyAlignment="1">
      <alignment horizontal="right" vertical="center" wrapText="1"/>
    </xf>
    <xf numFmtId="173" fontId="5" fillId="0" borderId="10" xfId="0" applyNumberFormat="1" applyFont="1" applyBorder="1" applyAlignment="1">
      <alignment horizontal="center" vertical="center" wrapText="1"/>
    </xf>
    <xf numFmtId="173" fontId="4" fillId="0" borderId="10" xfId="0" applyNumberFormat="1" applyFont="1" applyBorder="1" applyAlignment="1">
      <alignment horizontal="center" vertical="center" wrapText="1"/>
    </xf>
    <xf numFmtId="173" fontId="4" fillId="0" borderId="10" xfId="42" applyNumberFormat="1" applyFont="1" applyBorder="1" applyAlignment="1">
      <alignment horizontal="right" vertical="center" wrapText="1"/>
    </xf>
    <xf numFmtId="176" fontId="5" fillId="0" borderId="10" xfId="0" applyNumberFormat="1" applyFont="1" applyBorder="1" applyAlignment="1">
      <alignment horizontal="left" vertical="center" wrapText="1"/>
    </xf>
    <xf numFmtId="176"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xf>
    <xf numFmtId="173" fontId="5" fillId="0" borderId="10" xfId="0" applyNumberFormat="1" applyFont="1" applyBorder="1" applyAlignment="1">
      <alignment horizontal="right" vertical="center"/>
    </xf>
    <xf numFmtId="173" fontId="4" fillId="0" borderId="10" xfId="0" applyNumberFormat="1" applyFont="1" applyBorder="1" applyAlignment="1">
      <alignment horizontal="right" vertical="center"/>
    </xf>
    <xf numFmtId="2" fontId="5" fillId="0" borderId="10" xfId="0" applyNumberFormat="1" applyFont="1" applyBorder="1" applyAlignment="1">
      <alignment horizontal="center" vertical="center"/>
    </xf>
    <xf numFmtId="0" fontId="4" fillId="33" borderId="10" xfId="0" applyFont="1" applyFill="1" applyBorder="1" applyAlignment="1">
      <alignment horizontal="right" vertical="center" wrapText="1"/>
    </xf>
    <xf numFmtId="0" fontId="5" fillId="0" borderId="10" xfId="0" applyFont="1" applyBorder="1" applyAlignment="1">
      <alignment horizontal="center" wrapText="1"/>
    </xf>
    <xf numFmtId="0" fontId="5" fillId="0" borderId="10" xfId="0" applyFont="1" applyBorder="1" applyAlignment="1">
      <alignment horizontal="left"/>
    </xf>
    <xf numFmtId="0" fontId="5" fillId="0" borderId="10" xfId="0" applyFont="1" applyBorder="1" applyAlignment="1">
      <alignment/>
    </xf>
    <xf numFmtId="173" fontId="5" fillId="0" borderId="10" xfId="0" applyNumberFormat="1" applyFont="1" applyBorder="1" applyAlignment="1">
      <alignment horizontal="center" vertical="center"/>
    </xf>
    <xf numFmtId="173" fontId="4" fillId="32" borderId="10" xfId="0" applyNumberFormat="1" applyFont="1" applyFill="1" applyBorder="1" applyAlignment="1">
      <alignment horizontal="right" vertical="center" wrapText="1"/>
    </xf>
    <xf numFmtId="0" fontId="4" fillId="32" borderId="10" xfId="0" applyFont="1" applyFill="1" applyBorder="1" applyAlignment="1">
      <alignment horizontal="center" vertical="center" wrapText="1"/>
    </xf>
    <xf numFmtId="0" fontId="5" fillId="0" borderId="10" xfId="0" applyFont="1" applyBorder="1" applyAlignment="1">
      <alignment wrapText="1"/>
    </xf>
    <xf numFmtId="0" fontId="4" fillId="0" borderId="10" xfId="0" applyFont="1" applyBorder="1" applyAlignment="1">
      <alignment horizontal="center" wrapText="1"/>
    </xf>
    <xf numFmtId="0" fontId="5" fillId="0" borderId="10" xfId="0" applyFont="1" applyBorder="1" applyAlignment="1">
      <alignment horizontal="justify" vertical="center" wrapText="1"/>
    </xf>
    <xf numFmtId="0" fontId="5" fillId="0" borderId="10" xfId="0" applyFont="1" applyBorder="1" applyAlignment="1" quotePrefix="1">
      <alignment horizontal="right" vertical="center" wrapText="1"/>
    </xf>
    <xf numFmtId="173" fontId="5" fillId="0" borderId="10" xfId="0" applyNumberFormat="1" applyFont="1" applyBorder="1" applyAlignment="1" quotePrefix="1">
      <alignment horizontal="right" vertical="center" wrapText="1"/>
    </xf>
    <xf numFmtId="173" fontId="4" fillId="0" borderId="10" xfId="0" applyNumberFormat="1" applyFont="1" applyBorder="1" applyAlignment="1" quotePrefix="1">
      <alignment horizontal="right" vertical="center" wrapText="1"/>
    </xf>
    <xf numFmtId="173" fontId="4" fillId="33" borderId="10" xfId="0" applyNumberFormat="1" applyFont="1" applyFill="1" applyBorder="1" applyAlignment="1">
      <alignment horizontal="right" vertical="center" wrapText="1"/>
    </xf>
    <xf numFmtId="175" fontId="5" fillId="0" borderId="10" xfId="0" applyNumberFormat="1" applyFont="1" applyBorder="1" applyAlignment="1">
      <alignment horizontal="center" vertical="center" wrapText="1"/>
    </xf>
    <xf numFmtId="0" fontId="4" fillId="0" borderId="10" xfId="62" applyFont="1" applyBorder="1" applyAlignment="1">
      <alignment horizontal="left" vertical="center" wrapText="1"/>
      <protection/>
    </xf>
    <xf numFmtId="0" fontId="5" fillId="0" borderId="10" xfId="62" applyFont="1" applyBorder="1" applyAlignment="1">
      <alignment horizontal="left" vertical="center" wrapText="1"/>
      <protection/>
    </xf>
    <xf numFmtId="0" fontId="5" fillId="0" borderId="10" xfId="62" applyFont="1" applyBorder="1" applyAlignment="1">
      <alignment horizontal="center" vertical="center" wrapText="1"/>
      <protection/>
    </xf>
    <xf numFmtId="3" fontId="5" fillId="0" borderId="10" xfId="62" applyNumberFormat="1" applyFont="1" applyBorder="1" applyAlignment="1">
      <alignment horizontal="center" vertical="center" wrapText="1"/>
      <protection/>
    </xf>
    <xf numFmtId="0" fontId="8" fillId="0" borderId="10" xfId="62" applyFont="1" applyBorder="1" applyAlignment="1">
      <alignment horizontal="left" vertical="center" wrapText="1"/>
      <protection/>
    </xf>
    <xf numFmtId="173" fontId="5" fillId="0" borderId="10" xfId="62" applyNumberFormat="1" applyFont="1" applyBorder="1" applyAlignment="1">
      <alignment horizontal="center" vertical="center" wrapText="1"/>
      <protection/>
    </xf>
    <xf numFmtId="0" fontId="5" fillId="0" borderId="10" xfId="62" applyFont="1" applyBorder="1" applyAlignment="1" quotePrefix="1">
      <alignment horizontal="center" vertical="center" wrapText="1"/>
      <protection/>
    </xf>
    <xf numFmtId="0" fontId="5" fillId="0" borderId="17" xfId="62" applyFont="1" applyBorder="1" applyAlignment="1">
      <alignment vertical="center" wrapText="1"/>
      <protection/>
    </xf>
    <xf numFmtId="0" fontId="5" fillId="0" borderId="10" xfId="62" applyFont="1" applyBorder="1" applyAlignment="1">
      <alignment vertical="center" wrapText="1"/>
      <protection/>
    </xf>
    <xf numFmtId="0" fontId="5" fillId="33" borderId="10" xfId="0" applyFont="1" applyFill="1" applyBorder="1" applyAlignment="1">
      <alignment horizontal="center" vertical="center" wrapText="1"/>
    </xf>
    <xf numFmtId="0" fontId="5" fillId="0" borderId="10" xfId="0" applyFont="1" applyBorder="1" applyAlignment="1" quotePrefix="1">
      <alignment horizontal="left" vertical="center" wrapText="1"/>
    </xf>
    <xf numFmtId="0" fontId="13" fillId="0" borderId="10" xfId="0" applyFont="1" applyBorder="1" applyAlignment="1">
      <alignment horizontal="center" vertical="center"/>
    </xf>
    <xf numFmtId="0" fontId="2"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vertical="center"/>
    </xf>
    <xf numFmtId="0" fontId="4" fillId="33" borderId="10" xfId="0" applyFont="1" applyFill="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14" fillId="0" borderId="10" xfId="0" applyFont="1" applyBorder="1" applyAlignment="1">
      <alignment horizontal="center" vertical="center"/>
    </xf>
    <xf numFmtId="0" fontId="4" fillId="0" borderId="10" xfId="0" applyFont="1" applyBorder="1" applyAlignment="1">
      <alignment horizontal="left" vertical="center" wrapText="1"/>
    </xf>
    <xf numFmtId="173" fontId="5" fillId="0" borderId="10" xfId="0" applyNumberFormat="1" applyFont="1" applyBorder="1" applyAlignment="1">
      <alignment horizontal="center" vertical="center" wrapText="1"/>
    </xf>
    <xf numFmtId="0" fontId="5" fillId="0" borderId="10" xfId="0" applyFont="1" applyBorder="1" applyAlignment="1" quotePrefix="1">
      <alignment horizontal="center" vertical="center" wrapText="1"/>
    </xf>
    <xf numFmtId="0" fontId="13" fillId="0" borderId="0" xfId="59" applyFont="1" applyBorder="1" applyAlignment="1">
      <alignment vertical="center"/>
      <protection/>
    </xf>
    <xf numFmtId="0" fontId="13" fillId="0" borderId="11" xfId="59" applyFont="1" applyBorder="1" applyAlignment="1">
      <alignment vertical="center"/>
      <protection/>
    </xf>
    <xf numFmtId="0" fontId="22" fillId="0" borderId="10" xfId="59" applyNumberFormat="1" applyFont="1" applyBorder="1" applyAlignment="1">
      <alignment horizontal="center" vertical="center"/>
      <protection/>
    </xf>
    <xf numFmtId="0" fontId="22" fillId="0" borderId="10" xfId="59" applyNumberFormat="1" applyFont="1" applyBorder="1" applyAlignment="1">
      <alignment horizontal="center" vertical="center" wrapText="1"/>
      <protection/>
    </xf>
    <xf numFmtId="0" fontId="22" fillId="0" borderId="0" xfId="59" applyFont="1" applyBorder="1" applyAlignment="1">
      <alignment vertical="center"/>
      <protection/>
    </xf>
    <xf numFmtId="0" fontId="22" fillId="0" borderId="11" xfId="59" applyFont="1" applyBorder="1" applyAlignment="1">
      <alignment vertical="center"/>
      <protection/>
    </xf>
    <xf numFmtId="0" fontId="22" fillId="0" borderId="10" xfId="59" applyNumberFormat="1" applyFont="1" applyBorder="1" applyAlignment="1">
      <alignment horizontal="center" vertical="top"/>
      <protection/>
    </xf>
    <xf numFmtId="0" fontId="60" fillId="0" borderId="10" xfId="59" applyNumberFormat="1" applyFont="1" applyBorder="1" applyAlignment="1">
      <alignment horizontal="center" vertical="top" wrapText="1"/>
      <protection/>
    </xf>
    <xf numFmtId="0" fontId="22" fillId="0" borderId="10" xfId="59" applyNumberFormat="1" applyFont="1" applyBorder="1" applyAlignment="1">
      <alignment horizontal="left" vertical="center" wrapText="1"/>
      <protection/>
    </xf>
    <xf numFmtId="0" fontId="13" fillId="0" borderId="10" xfId="59" applyNumberFormat="1" applyFont="1" applyBorder="1" applyAlignment="1">
      <alignment horizontal="center" vertical="center" wrapText="1"/>
      <protection/>
    </xf>
    <xf numFmtId="0" fontId="13" fillId="0" borderId="10" xfId="59" applyNumberFormat="1" applyFont="1" applyBorder="1" applyAlignment="1">
      <alignment horizontal="justify" vertical="center" wrapText="1"/>
      <protection/>
    </xf>
    <xf numFmtId="0" fontId="22" fillId="0" borderId="10" xfId="59" applyNumberFormat="1" applyFont="1" applyBorder="1" applyAlignment="1">
      <alignment horizontal="justify" vertical="center" wrapText="1"/>
      <protection/>
    </xf>
    <xf numFmtId="0" fontId="13" fillId="33" borderId="10" xfId="59" applyNumberFormat="1" applyFont="1" applyFill="1" applyBorder="1" applyAlignment="1">
      <alignment horizontal="center" vertical="center" wrapText="1"/>
      <protection/>
    </xf>
    <xf numFmtId="0" fontId="13" fillId="33" borderId="10" xfId="44" applyNumberFormat="1" applyFont="1" applyFill="1" applyBorder="1" applyAlignment="1">
      <alignment horizontal="center" vertical="center" wrapText="1"/>
    </xf>
    <xf numFmtId="0" fontId="13" fillId="0" borderId="10" xfId="59" applyNumberFormat="1" applyFont="1" applyFill="1" applyBorder="1" applyAlignment="1">
      <alignment horizontal="center" vertical="center" wrapText="1"/>
      <protection/>
    </xf>
    <xf numFmtId="0" fontId="13" fillId="0" borderId="10" xfId="59" applyNumberFormat="1" applyFont="1" applyBorder="1" applyAlignment="1">
      <alignment vertical="center" wrapText="1"/>
      <protection/>
    </xf>
    <xf numFmtId="0" fontId="60" fillId="0" borderId="10" xfId="59" applyNumberFormat="1" applyFont="1" applyBorder="1" applyAlignment="1">
      <alignment horizontal="center" vertical="center" wrapText="1"/>
      <protection/>
    </xf>
    <xf numFmtId="0" fontId="22" fillId="0" borderId="10" xfId="44" applyNumberFormat="1" applyFont="1" applyFill="1" applyBorder="1" applyAlignment="1">
      <alignment vertical="center" wrapText="1"/>
    </xf>
    <xf numFmtId="9" fontId="13" fillId="33" borderId="10" xfId="59" applyNumberFormat="1" applyFont="1" applyFill="1" applyBorder="1" applyAlignment="1">
      <alignment horizontal="center" vertical="center" wrapText="1"/>
      <protection/>
    </xf>
    <xf numFmtId="0" fontId="61" fillId="0" borderId="0" xfId="59" applyFont="1" applyBorder="1" applyAlignment="1">
      <alignment vertical="center"/>
      <protection/>
    </xf>
    <xf numFmtId="0" fontId="61" fillId="0" borderId="11" xfId="59" applyFont="1" applyBorder="1" applyAlignment="1">
      <alignment vertical="center"/>
      <protection/>
    </xf>
    <xf numFmtId="0" fontId="22" fillId="34" borderId="10" xfId="44" applyNumberFormat="1" applyFont="1" applyFill="1" applyBorder="1" applyAlignment="1">
      <alignment horizontal="center" vertical="center" wrapText="1"/>
    </xf>
    <xf numFmtId="0" fontId="61" fillId="0" borderId="10" xfId="59" applyNumberFormat="1" applyFont="1" applyBorder="1" applyAlignment="1">
      <alignment horizontal="justify" vertical="center" wrapText="1"/>
      <protection/>
    </xf>
    <xf numFmtId="0" fontId="61" fillId="33" borderId="10" xfId="59" applyNumberFormat="1" applyFont="1" applyFill="1" applyBorder="1" applyAlignment="1">
      <alignment horizontal="center" vertical="center" wrapText="1"/>
      <protection/>
    </xf>
    <xf numFmtId="0" fontId="13" fillId="0" borderId="18" xfId="59" applyFont="1" applyBorder="1" applyAlignment="1">
      <alignment vertical="center"/>
      <protection/>
    </xf>
    <xf numFmtId="0" fontId="22" fillId="0" borderId="0" xfId="59" applyFont="1" applyBorder="1" applyAlignment="1">
      <alignment horizontal="center" vertical="top"/>
      <protection/>
    </xf>
    <xf numFmtId="0" fontId="62" fillId="0" borderId="0" xfId="59" applyFont="1" applyBorder="1" applyAlignment="1">
      <alignment horizontal="center" vertical="top"/>
      <protection/>
    </xf>
    <xf numFmtId="0" fontId="13" fillId="0" borderId="0" xfId="59" applyFont="1" applyFill="1" applyBorder="1" applyAlignment="1">
      <alignment vertical="center"/>
      <protection/>
    </xf>
    <xf numFmtId="0" fontId="13" fillId="0" borderId="0" xfId="59" applyFont="1" applyBorder="1" applyAlignment="1">
      <alignment horizontal="center" vertical="center"/>
      <protection/>
    </xf>
    <xf numFmtId="43" fontId="13" fillId="0" borderId="0" xfId="44" applyFont="1" applyBorder="1" applyAlignment="1">
      <alignment horizontal="center" vertical="center"/>
    </xf>
    <xf numFmtId="0" fontId="13" fillId="34" borderId="0" xfId="59" applyFont="1" applyFill="1" applyBorder="1" applyAlignment="1">
      <alignment horizontal="center" vertical="center"/>
      <protection/>
    </xf>
    <xf numFmtId="0" fontId="22" fillId="0" borderId="11" xfId="59" applyFont="1" applyBorder="1" applyAlignment="1">
      <alignment horizontal="center" vertical="top"/>
      <protection/>
    </xf>
    <xf numFmtId="0" fontId="62" fillId="0" borderId="11" xfId="59" applyFont="1" applyBorder="1" applyAlignment="1">
      <alignment horizontal="center" vertical="top"/>
      <protection/>
    </xf>
    <xf numFmtId="0" fontId="13" fillId="0" borderId="11" xfId="59" applyFont="1" applyBorder="1" applyAlignment="1">
      <alignment horizontal="center" vertical="center"/>
      <protection/>
    </xf>
    <xf numFmtId="43" fontId="13" fillId="0" borderId="11" xfId="44" applyFont="1" applyBorder="1" applyAlignment="1">
      <alignment horizontal="center" vertical="center"/>
    </xf>
    <xf numFmtId="0" fontId="13" fillId="34" borderId="11" xfId="59" applyFont="1" applyFill="1" applyBorder="1" applyAlignment="1">
      <alignment horizontal="center" vertical="center"/>
      <protection/>
    </xf>
    <xf numFmtId="0" fontId="60" fillId="0" borderId="10" xfId="59" applyNumberFormat="1" applyFont="1" applyBorder="1" applyAlignment="1">
      <alignment horizontal="center" vertical="center"/>
      <protection/>
    </xf>
    <xf numFmtId="0" fontId="22" fillId="0" borderId="10" xfId="59" applyFont="1" applyBorder="1" applyAlignment="1">
      <alignment horizontal="center" vertical="center"/>
      <protection/>
    </xf>
    <xf numFmtId="0" fontId="22" fillId="34" borderId="10" xfId="59" applyNumberFormat="1" applyFont="1" applyFill="1" applyBorder="1" applyAlignment="1">
      <alignment horizontal="center" vertical="center" wrapText="1"/>
      <protection/>
    </xf>
    <xf numFmtId="0" fontId="3" fillId="35" borderId="10" xfId="59" applyFont="1" applyFill="1" applyBorder="1" applyAlignment="1">
      <alignment horizontal="center" vertical="center" wrapText="1"/>
      <protection/>
    </xf>
    <xf numFmtId="0" fontId="23" fillId="35" borderId="10" xfId="59" applyFont="1" applyFill="1" applyBorder="1" applyAlignment="1">
      <alignment horizontal="center" vertical="center" wrapText="1"/>
      <protection/>
    </xf>
    <xf numFmtId="0" fontId="19" fillId="0" borderId="10" xfId="59" applyNumberFormat="1" applyFont="1" applyFill="1" applyBorder="1" applyAlignment="1">
      <alignment horizontal="center" vertical="center" wrapText="1"/>
      <protection/>
    </xf>
    <xf numFmtId="0" fontId="61" fillId="0" borderId="10" xfId="59" applyNumberFormat="1" applyFont="1" applyFill="1" applyBorder="1" applyAlignment="1">
      <alignment horizontal="center" vertical="center" wrapText="1"/>
      <protection/>
    </xf>
    <xf numFmtId="0" fontId="23" fillId="35" borderId="10" xfId="59"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8"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left" vertical="center" wrapText="1"/>
    </xf>
    <xf numFmtId="0" fontId="4" fillId="0" borderId="10" xfId="0" applyFont="1" applyBorder="1" applyAlignment="1">
      <alignment horizontal="center"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wrapText="1"/>
    </xf>
    <xf numFmtId="0" fontId="4" fillId="0" borderId="10" xfId="0" applyFont="1" applyBorder="1" applyAlignment="1">
      <alignment horizontal="center" vertical="center" wrapText="1"/>
    </xf>
    <xf numFmtId="43" fontId="4" fillId="0" borderId="10" xfId="42" applyFont="1" applyBorder="1" applyAlignment="1">
      <alignment horizontal="center" vertical="center" wrapText="1"/>
    </xf>
    <xf numFmtId="0" fontId="8" fillId="0" borderId="12" xfId="0" applyFont="1" applyBorder="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3"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12" fillId="0" borderId="12" xfId="0" applyFont="1" applyBorder="1" applyAlignment="1">
      <alignment horizontal="right" vertical="center" wrapText="1"/>
    </xf>
    <xf numFmtId="0" fontId="4" fillId="0" borderId="10" xfId="0" applyFont="1" applyBorder="1" applyAlignment="1">
      <alignment horizontal="center" vertical="center"/>
    </xf>
    <xf numFmtId="0" fontId="4" fillId="32" borderId="10" xfId="0" applyFont="1" applyFill="1" applyBorder="1" applyAlignment="1">
      <alignment horizontal="center" vertical="center" wrapText="1"/>
    </xf>
    <xf numFmtId="0" fontId="4" fillId="0" borderId="10" xfId="0" applyFont="1" applyBorder="1" applyAlignment="1">
      <alignment horizontal="center" wrapText="1"/>
    </xf>
    <xf numFmtId="0" fontId="5" fillId="0" borderId="10" xfId="0" applyFont="1" applyBorder="1" applyAlignment="1">
      <alignment horizontal="center" vertical="center" wrapText="1"/>
    </xf>
    <xf numFmtId="0" fontId="15" fillId="0" borderId="0" xfId="62" applyFont="1" applyAlignment="1">
      <alignment horizontal="center" vertical="center" wrapText="1"/>
      <protection/>
    </xf>
    <xf numFmtId="0" fontId="16" fillId="0" borderId="0" xfId="62" applyFont="1" applyAlignment="1">
      <alignment horizontal="center" vertical="center" wrapText="1"/>
      <protection/>
    </xf>
    <xf numFmtId="0" fontId="22" fillId="0" borderId="10" xfId="44" applyNumberFormat="1" applyFont="1" applyBorder="1" applyAlignment="1">
      <alignment horizontal="center" vertical="center" wrapText="1"/>
    </xf>
    <xf numFmtId="0" fontId="22" fillId="0" borderId="10" xfId="59" applyNumberFormat="1" applyFont="1" applyBorder="1" applyAlignment="1">
      <alignment horizontal="center" vertical="top"/>
      <protection/>
    </xf>
    <xf numFmtId="0" fontId="60" fillId="0" borderId="10" xfId="59" applyNumberFormat="1" applyFont="1" applyBorder="1" applyAlignment="1">
      <alignment horizontal="center" vertical="top" wrapText="1"/>
      <protection/>
    </xf>
    <xf numFmtId="0" fontId="60" fillId="0" borderId="10" xfId="59" applyNumberFormat="1" applyFont="1" applyBorder="1" applyAlignment="1">
      <alignment horizontal="center" vertical="top"/>
      <protection/>
    </xf>
    <xf numFmtId="0" fontId="13" fillId="0" borderId="10" xfId="59" applyNumberFormat="1" applyFont="1" applyBorder="1" applyAlignment="1">
      <alignment horizontal="center" vertical="center" wrapText="1"/>
      <protection/>
    </xf>
    <xf numFmtId="0" fontId="13" fillId="0" borderId="10" xfId="44" applyNumberFormat="1" applyFont="1" applyFill="1" applyBorder="1" applyAlignment="1">
      <alignment horizontal="center" vertical="center" wrapText="1"/>
    </xf>
    <xf numFmtId="0" fontId="2" fillId="0" borderId="10" xfId="59" applyBorder="1">
      <alignment/>
      <protection/>
    </xf>
    <xf numFmtId="0" fontId="15" fillId="0" borderId="0" xfId="59" applyFont="1" applyBorder="1" applyAlignment="1">
      <alignment horizontal="center" vertical="center"/>
      <protection/>
    </xf>
    <xf numFmtId="0" fontId="21" fillId="0" borderId="0" xfId="59" applyFont="1" applyBorder="1" applyAlignment="1">
      <alignment horizontal="right" vertical="center" wrapText="1"/>
      <protection/>
    </xf>
    <xf numFmtId="0" fontId="22" fillId="0" borderId="10" xfId="59" applyNumberFormat="1" applyFont="1" applyBorder="1" applyAlignment="1">
      <alignment horizontal="center" vertical="center" wrapText="1"/>
      <protection/>
    </xf>
    <xf numFmtId="0" fontId="60" fillId="0" borderId="10" xfId="59" applyNumberFormat="1" applyFont="1" applyBorder="1" applyAlignment="1">
      <alignment horizontal="center" vertical="center" wrapText="1"/>
      <protection/>
    </xf>
    <xf numFmtId="0" fontId="13" fillId="0" borderId="10" xfId="44" applyNumberFormat="1" applyFont="1" applyFill="1" applyBorder="1" applyAlignment="1" quotePrefix="1">
      <alignment horizontal="center" vertical="center" wrapText="1"/>
    </xf>
    <xf numFmtId="0" fontId="13" fillId="33" borderId="10" xfId="59" applyNumberFormat="1" applyFont="1" applyFill="1" applyBorder="1" applyAlignment="1">
      <alignment horizontal="center" vertical="center" wrapText="1"/>
      <protection/>
    </xf>
    <xf numFmtId="0" fontId="22" fillId="0" borderId="10" xfId="59" applyNumberFormat="1" applyFont="1" applyBorder="1" applyAlignment="1">
      <alignment horizontal="center" vertical="center"/>
      <protection/>
    </xf>
    <xf numFmtId="0" fontId="13" fillId="33" borderId="10" xfId="44" applyNumberFormat="1" applyFont="1" applyFill="1" applyBorder="1" applyAlignment="1">
      <alignment horizontal="center" vertical="center" wrapText="1"/>
    </xf>
    <xf numFmtId="0" fontId="13" fillId="0" borderId="10" xfId="59" applyNumberFormat="1" applyFont="1" applyBorder="1" applyAlignment="1">
      <alignment horizontal="left" vertical="center" wrapText="1"/>
      <protection/>
    </xf>
    <xf numFmtId="0" fontId="13" fillId="0" borderId="10" xfId="59" applyNumberFormat="1" applyFont="1" applyFill="1" applyBorder="1" applyAlignment="1">
      <alignment horizontal="center" vertical="center" wrapText="1"/>
      <protection/>
    </xf>
    <xf numFmtId="0" fontId="13" fillId="0" borderId="10" xfId="44" applyNumberFormat="1" applyFont="1" applyBorder="1" applyAlignment="1">
      <alignment horizontal="center" vertical="center" wrapText="1"/>
    </xf>
    <xf numFmtId="0" fontId="13" fillId="34" borderId="10" xfId="44" applyNumberFormat="1" applyFont="1" applyFill="1" applyBorder="1" applyAlignment="1">
      <alignment horizontal="center" vertical="center" wrapText="1"/>
    </xf>
    <xf numFmtId="0" fontId="22" fillId="34" borderId="10" xfId="44" applyNumberFormat="1" applyFont="1" applyFill="1" applyBorder="1" applyAlignment="1">
      <alignment horizontal="center" vertical="center" wrapText="1"/>
    </xf>
    <xf numFmtId="0" fontId="61" fillId="34" borderId="10" xfId="44" applyNumberFormat="1" applyFont="1" applyFill="1" applyBorder="1" applyAlignment="1">
      <alignment horizontal="center" vertical="center" wrapText="1"/>
    </xf>
    <xf numFmtId="0" fontId="16" fillId="0" borderId="0" xfId="59" applyFont="1" applyBorder="1" applyAlignment="1">
      <alignment horizontal="center" vertical="center"/>
      <protection/>
    </xf>
    <xf numFmtId="0" fontId="13" fillId="0" borderId="19" xfId="44" applyNumberFormat="1" applyFont="1" applyFill="1" applyBorder="1" applyAlignment="1">
      <alignment horizontal="center" vertical="center" wrapText="1"/>
    </xf>
    <xf numFmtId="0" fontId="13" fillId="0" borderId="20" xfId="44" applyNumberFormat="1" applyFont="1" applyFill="1" applyBorder="1" applyAlignment="1">
      <alignment horizontal="center" vertical="center" wrapText="1"/>
    </xf>
    <xf numFmtId="0" fontId="13" fillId="0" borderId="21" xfId="44" applyNumberFormat="1" applyFont="1" applyFill="1" applyBorder="1" applyAlignment="1">
      <alignment horizontal="center" vertical="center" wrapText="1"/>
    </xf>
    <xf numFmtId="0" fontId="13" fillId="0" borderId="22" xfId="44"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_Sheet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69"/>
  <sheetViews>
    <sheetView tabSelected="1" zoomScalePageLayoutView="0" workbookViewId="0" topLeftCell="A1">
      <selection activeCell="G10" sqref="G10"/>
    </sheetView>
  </sheetViews>
  <sheetFormatPr defaultColWidth="9.140625" defaultRowHeight="12.75"/>
  <cols>
    <col min="1" max="1" width="5.8515625" style="19" customWidth="1"/>
    <col min="2" max="2" width="45.7109375" style="3" customWidth="1"/>
    <col min="3" max="3" width="8.57421875" style="19" customWidth="1"/>
    <col min="4" max="4" width="9.8515625" style="3" customWidth="1"/>
    <col min="5" max="5" width="74.140625" style="33" customWidth="1"/>
    <col min="6" max="6" width="9.140625" style="3" customWidth="1"/>
    <col min="7" max="7" width="14.8515625" style="3" bestFit="1" customWidth="1"/>
    <col min="8" max="8" width="9.140625" style="3" customWidth="1"/>
    <col min="9" max="9" width="15.00390625" style="3" bestFit="1" customWidth="1"/>
    <col min="10" max="16384" width="9.140625" style="3" customWidth="1"/>
  </cols>
  <sheetData>
    <row r="1" spans="1:5" ht="16.5">
      <c r="A1" s="211" t="s">
        <v>741</v>
      </c>
      <c r="B1" s="211"/>
      <c r="C1" s="211"/>
      <c r="D1" s="211"/>
      <c r="E1" s="211"/>
    </row>
    <row r="2" spans="1:5" ht="16.5">
      <c r="A2" s="212" t="s">
        <v>761</v>
      </c>
      <c r="B2" s="212"/>
      <c r="C2" s="212"/>
      <c r="D2" s="212"/>
      <c r="E2" s="212"/>
    </row>
    <row r="3" spans="1:5" ht="16.5">
      <c r="A3" s="37"/>
      <c r="B3" s="37"/>
      <c r="C3" s="37"/>
      <c r="D3" s="37"/>
      <c r="E3" s="38"/>
    </row>
    <row r="4" spans="1:5" ht="33">
      <c r="A4" s="8" t="s">
        <v>11</v>
      </c>
      <c r="B4" s="8" t="s">
        <v>68</v>
      </c>
      <c r="C4" s="8" t="s">
        <v>0</v>
      </c>
      <c r="D4" s="8" t="s">
        <v>1</v>
      </c>
      <c r="E4" s="8" t="s">
        <v>125</v>
      </c>
    </row>
    <row r="5" spans="1:5" ht="23.25" customHeight="1">
      <c r="A5" s="8" t="s">
        <v>2</v>
      </c>
      <c r="B5" s="14" t="s">
        <v>3</v>
      </c>
      <c r="C5" s="8"/>
      <c r="D5" s="8"/>
      <c r="E5" s="68"/>
    </row>
    <row r="6" spans="1:5" ht="33">
      <c r="A6" s="69">
        <v>1</v>
      </c>
      <c r="B6" s="70" t="s">
        <v>120</v>
      </c>
      <c r="C6" s="69" t="s">
        <v>4</v>
      </c>
      <c r="D6" s="69">
        <f>13+5+10+9+5+4+3+3+4</f>
        <v>56</v>
      </c>
      <c r="E6" s="71" t="s">
        <v>570</v>
      </c>
    </row>
    <row r="7" spans="1:5" ht="38.25" customHeight="1">
      <c r="A7" s="69">
        <v>2</v>
      </c>
      <c r="B7" s="70" t="s">
        <v>5</v>
      </c>
      <c r="C7" s="69" t="s">
        <v>6</v>
      </c>
      <c r="D7" s="72">
        <f>2058+1786+2064+1635+872+372+336+801+432</f>
        <v>10356</v>
      </c>
      <c r="E7" s="71" t="s">
        <v>743</v>
      </c>
    </row>
    <row r="8" spans="1:5" ht="23.25" customHeight="1">
      <c r="A8" s="69"/>
      <c r="B8" s="70" t="s">
        <v>75</v>
      </c>
      <c r="C8" s="69"/>
      <c r="D8" s="69"/>
      <c r="E8" s="71"/>
    </row>
    <row r="9" spans="1:5" ht="33">
      <c r="A9" s="69" t="s">
        <v>200</v>
      </c>
      <c r="B9" s="70" t="s">
        <v>202</v>
      </c>
      <c r="C9" s="69" t="s">
        <v>6</v>
      </c>
      <c r="D9" s="69">
        <f>18+11+9+15+16+4+5+6+3</f>
        <v>87</v>
      </c>
      <c r="E9" s="71" t="s">
        <v>702</v>
      </c>
    </row>
    <row r="10" spans="1:5" ht="40.5" customHeight="1">
      <c r="A10" s="69"/>
      <c r="B10" s="70" t="s">
        <v>207</v>
      </c>
      <c r="C10" s="69" t="s">
        <v>67</v>
      </c>
      <c r="D10" s="73">
        <f>D9/D7*100</f>
        <v>0.8400926998841253</v>
      </c>
      <c r="E10" s="71" t="s">
        <v>742</v>
      </c>
    </row>
    <row r="11" spans="1:5" ht="33">
      <c r="A11" s="69" t="s">
        <v>203</v>
      </c>
      <c r="B11" s="70" t="s">
        <v>208</v>
      </c>
      <c r="C11" s="69" t="s">
        <v>6</v>
      </c>
      <c r="D11" s="69">
        <f>12+30+26+44+34+18+9+29+0</f>
        <v>202</v>
      </c>
      <c r="E11" s="71" t="s">
        <v>703</v>
      </c>
    </row>
    <row r="12" spans="1:5" ht="37.5" customHeight="1">
      <c r="A12" s="69"/>
      <c r="B12" s="70" t="s">
        <v>209</v>
      </c>
      <c r="C12" s="69" t="s">
        <v>67</v>
      </c>
      <c r="D12" s="73">
        <f>D11/D7*100</f>
        <v>1.9505600617999226</v>
      </c>
      <c r="E12" s="71" t="s">
        <v>704</v>
      </c>
    </row>
    <row r="13" spans="1:5" ht="36" customHeight="1">
      <c r="A13" s="69">
        <v>3</v>
      </c>
      <c r="B13" s="70" t="s">
        <v>7</v>
      </c>
      <c r="C13" s="69" t="s">
        <v>8</v>
      </c>
      <c r="D13" s="72">
        <f>10259+7255+7323+5989+3758+1699+1598+3097+1685</f>
        <v>42663</v>
      </c>
      <c r="E13" s="71" t="s">
        <v>745</v>
      </c>
    </row>
    <row r="14" spans="1:5" ht="23.25" customHeight="1">
      <c r="A14" s="8" t="s">
        <v>23</v>
      </c>
      <c r="B14" s="14" t="s">
        <v>196</v>
      </c>
      <c r="C14" s="8"/>
      <c r="D14" s="14"/>
      <c r="E14" s="68"/>
    </row>
    <row r="15" spans="1:5" ht="38.25" customHeight="1">
      <c r="A15" s="69"/>
      <c r="B15" s="70" t="s">
        <v>183</v>
      </c>
      <c r="C15" s="69" t="s">
        <v>134</v>
      </c>
      <c r="D15" s="72">
        <f>2052+1746+1920+1546+872+320+327+721+426</f>
        <v>9930</v>
      </c>
      <c r="E15" s="71" t="s">
        <v>744</v>
      </c>
    </row>
    <row r="16" spans="1:5" ht="23.25" customHeight="1">
      <c r="A16" s="69"/>
      <c r="B16" s="70" t="s">
        <v>75</v>
      </c>
      <c r="C16" s="69"/>
      <c r="D16" s="69"/>
      <c r="E16" s="71"/>
    </row>
    <row r="17" spans="1:5" ht="23.25" customHeight="1">
      <c r="A17" s="69">
        <v>1</v>
      </c>
      <c r="B17" s="70" t="s">
        <v>204</v>
      </c>
      <c r="C17" s="69" t="s">
        <v>134</v>
      </c>
      <c r="D17" s="69">
        <v>0</v>
      </c>
      <c r="E17" s="71"/>
    </row>
    <row r="18" spans="1:7" ht="23.25" customHeight="1">
      <c r="A18" s="69"/>
      <c r="B18" s="70" t="s">
        <v>206</v>
      </c>
      <c r="C18" s="69" t="s">
        <v>67</v>
      </c>
      <c r="D18" s="69">
        <v>0</v>
      </c>
      <c r="E18" s="71"/>
      <c r="F18" s="15"/>
      <c r="G18" s="15"/>
    </row>
    <row r="19" spans="1:7" ht="39" customHeight="1">
      <c r="A19" s="69">
        <v>2</v>
      </c>
      <c r="B19" s="70" t="s">
        <v>205</v>
      </c>
      <c r="C19" s="69" t="s">
        <v>134</v>
      </c>
      <c r="D19" s="72">
        <f>2017+1659+1894+1489+700+255+268+668+416</f>
        <v>9366</v>
      </c>
      <c r="E19" s="71" t="s">
        <v>746</v>
      </c>
      <c r="F19" s="15"/>
      <c r="G19" s="15"/>
    </row>
    <row r="20" spans="1:7" ht="33">
      <c r="A20" s="69"/>
      <c r="B20" s="70" t="s">
        <v>747</v>
      </c>
      <c r="C20" s="69" t="s">
        <v>67</v>
      </c>
      <c r="D20" s="73">
        <f>D19/D15*100</f>
        <v>94.3202416918429</v>
      </c>
      <c r="E20" s="71" t="s">
        <v>748</v>
      </c>
      <c r="F20" s="15"/>
      <c r="G20" s="15"/>
    </row>
    <row r="21" spans="1:7" ht="33">
      <c r="A21" s="69">
        <v>3</v>
      </c>
      <c r="B21" s="70" t="s">
        <v>749</v>
      </c>
      <c r="C21" s="69" t="s">
        <v>134</v>
      </c>
      <c r="D21" s="69">
        <f>35+87+26+57+172+65+59+53+10</f>
        <v>564</v>
      </c>
      <c r="E21" s="71" t="s">
        <v>506</v>
      </c>
      <c r="F21" s="15"/>
      <c r="G21" s="63"/>
    </row>
    <row r="22" spans="1:7" ht="37.5" customHeight="1">
      <c r="A22" s="69"/>
      <c r="B22" s="70" t="s">
        <v>750</v>
      </c>
      <c r="C22" s="69" t="s">
        <v>67</v>
      </c>
      <c r="D22" s="73">
        <f>D21/D15*100</f>
        <v>5.6797583081570995</v>
      </c>
      <c r="E22" s="71" t="s">
        <v>505</v>
      </c>
      <c r="F22" s="15"/>
      <c r="G22" s="15"/>
    </row>
    <row r="23" spans="1:5" ht="23.25" customHeight="1">
      <c r="A23" s="8" t="s">
        <v>66</v>
      </c>
      <c r="B23" s="14" t="s">
        <v>201</v>
      </c>
      <c r="C23" s="8"/>
      <c r="D23" s="74"/>
      <c r="E23" s="68"/>
    </row>
    <row r="24" spans="1:5" ht="33">
      <c r="A24" s="69">
        <v>1</v>
      </c>
      <c r="B24" s="70" t="s">
        <v>182</v>
      </c>
      <c r="C24" s="69" t="s">
        <v>71</v>
      </c>
      <c r="D24" s="69">
        <v>9</v>
      </c>
      <c r="E24" s="71" t="s">
        <v>478</v>
      </c>
    </row>
    <row r="25" spans="1:5" ht="23.25" customHeight="1">
      <c r="A25" s="69"/>
      <c r="B25" s="70" t="s">
        <v>75</v>
      </c>
      <c r="C25" s="69"/>
      <c r="D25" s="74"/>
      <c r="E25" s="68"/>
    </row>
    <row r="26" spans="1:5" ht="33">
      <c r="A26" s="69"/>
      <c r="B26" s="70" t="s">
        <v>261</v>
      </c>
      <c r="C26" s="69" t="s">
        <v>71</v>
      </c>
      <c r="D26" s="69">
        <v>9</v>
      </c>
      <c r="E26" s="71" t="s">
        <v>478</v>
      </c>
    </row>
    <row r="27" spans="1:5" ht="30" customHeight="1">
      <c r="A27" s="69"/>
      <c r="B27" s="70" t="s">
        <v>262</v>
      </c>
      <c r="C27" s="69" t="s">
        <v>751</v>
      </c>
      <c r="D27" s="69">
        <v>0</v>
      </c>
      <c r="E27" s="71"/>
    </row>
    <row r="28" spans="1:5" ht="33">
      <c r="A28" s="69">
        <v>2</v>
      </c>
      <c r="B28" s="70" t="s">
        <v>264</v>
      </c>
      <c r="C28" s="69" t="s">
        <v>4</v>
      </c>
      <c r="D28" s="69">
        <f>13+5+10+9+5+4+3+3+4</f>
        <v>56</v>
      </c>
      <c r="E28" s="71" t="s">
        <v>507</v>
      </c>
    </row>
    <row r="29" spans="1:5" ht="36" customHeight="1">
      <c r="A29" s="69">
        <v>3</v>
      </c>
      <c r="B29" s="70" t="s">
        <v>263</v>
      </c>
      <c r="C29" s="69"/>
      <c r="D29" s="72">
        <f>2227+516+1689+800+770+290+320+235+397</f>
        <v>7244</v>
      </c>
      <c r="E29" s="71" t="s">
        <v>752</v>
      </c>
    </row>
    <row r="30" spans="1:5" ht="23.25" customHeight="1">
      <c r="A30" s="8" t="s">
        <v>78</v>
      </c>
      <c r="B30" s="14" t="s">
        <v>197</v>
      </c>
      <c r="C30" s="8"/>
      <c r="D30" s="8"/>
      <c r="E30" s="68"/>
    </row>
    <row r="31" spans="1:5" ht="33">
      <c r="A31" s="69">
        <v>1</v>
      </c>
      <c r="B31" s="70" t="s">
        <v>180</v>
      </c>
      <c r="C31" s="69" t="s">
        <v>72</v>
      </c>
      <c r="D31" s="69">
        <f>1+1+1+1+0+1+0+1+1</f>
        <v>7</v>
      </c>
      <c r="E31" s="71" t="s">
        <v>509</v>
      </c>
    </row>
    <row r="32" spans="1:5" ht="33">
      <c r="A32" s="69">
        <v>2</v>
      </c>
      <c r="B32" s="70" t="s">
        <v>181</v>
      </c>
      <c r="C32" s="69" t="s">
        <v>72</v>
      </c>
      <c r="D32" s="69">
        <f>1+0+1+0+0+0+1+0+1</f>
        <v>4</v>
      </c>
      <c r="E32" s="71" t="s">
        <v>508</v>
      </c>
    </row>
    <row r="33" spans="1:5" ht="33">
      <c r="A33" s="69"/>
      <c r="B33" s="70" t="s">
        <v>247</v>
      </c>
      <c r="C33" s="69" t="s">
        <v>72</v>
      </c>
      <c r="D33" s="69">
        <v>0</v>
      </c>
      <c r="E33" s="71"/>
    </row>
    <row r="34" spans="1:5" ht="23.25" customHeight="1">
      <c r="A34" s="69">
        <v>3</v>
      </c>
      <c r="B34" s="70" t="s">
        <v>245</v>
      </c>
      <c r="C34" s="69" t="s">
        <v>72</v>
      </c>
      <c r="D34" s="69">
        <v>0</v>
      </c>
      <c r="E34" s="71"/>
    </row>
    <row r="35" spans="1:5" ht="23.25" customHeight="1">
      <c r="A35" s="69"/>
      <c r="B35" s="70" t="s">
        <v>246</v>
      </c>
      <c r="C35" s="69" t="s">
        <v>72</v>
      </c>
      <c r="D35" s="69">
        <v>0</v>
      </c>
      <c r="E35" s="71"/>
    </row>
    <row r="36" spans="1:5" ht="23.25" customHeight="1">
      <c r="A36" s="8" t="s">
        <v>198</v>
      </c>
      <c r="B36" s="68" t="s">
        <v>199</v>
      </c>
      <c r="C36" s="8"/>
      <c r="D36" s="8"/>
      <c r="E36" s="68"/>
    </row>
    <row r="37" spans="1:5" ht="33">
      <c r="A37" s="69">
        <v>1</v>
      </c>
      <c r="B37" s="70" t="s">
        <v>248</v>
      </c>
      <c r="C37" s="69" t="s">
        <v>753</v>
      </c>
      <c r="D37" s="69" t="s">
        <v>271</v>
      </c>
      <c r="E37" s="69" t="s">
        <v>334</v>
      </c>
    </row>
    <row r="38" spans="1:5" ht="27" customHeight="1">
      <c r="A38" s="69">
        <v>2</v>
      </c>
      <c r="B38" s="70" t="s">
        <v>249</v>
      </c>
      <c r="C38" s="69" t="s">
        <v>753</v>
      </c>
      <c r="D38" s="69" t="s">
        <v>271</v>
      </c>
      <c r="E38" s="69" t="s">
        <v>334</v>
      </c>
    </row>
    <row r="39" spans="1:5" ht="33">
      <c r="A39" s="69">
        <v>3</v>
      </c>
      <c r="B39" s="70" t="s">
        <v>250</v>
      </c>
      <c r="C39" s="69" t="s">
        <v>70</v>
      </c>
      <c r="D39" s="69">
        <f>9+9+10+10+12+9+10+9+10</f>
        <v>88</v>
      </c>
      <c r="E39" s="71" t="s">
        <v>551</v>
      </c>
    </row>
    <row r="40" spans="1:5" ht="33">
      <c r="A40" s="69">
        <v>4</v>
      </c>
      <c r="B40" s="70" t="s">
        <v>717</v>
      </c>
      <c r="C40" s="69" t="s">
        <v>260</v>
      </c>
      <c r="D40" s="69">
        <f>0+4+4+4+5+4+4+4+4</f>
        <v>33</v>
      </c>
      <c r="E40" s="71" t="s">
        <v>550</v>
      </c>
    </row>
    <row r="41" spans="1:5" ht="33">
      <c r="A41" s="69">
        <v>5</v>
      </c>
      <c r="B41" s="70" t="s">
        <v>251</v>
      </c>
      <c r="C41" s="69" t="s">
        <v>8</v>
      </c>
      <c r="D41" s="69">
        <f>6+5+5+5+5+6+6+5+6</f>
        <v>49</v>
      </c>
      <c r="E41" s="71" t="s">
        <v>548</v>
      </c>
    </row>
    <row r="42" spans="1:5" ht="33">
      <c r="A42" s="69"/>
      <c r="B42" s="70" t="s">
        <v>252</v>
      </c>
      <c r="C42" s="69" t="s">
        <v>8</v>
      </c>
      <c r="D42" s="75">
        <v>8</v>
      </c>
      <c r="E42" s="71" t="s">
        <v>547</v>
      </c>
    </row>
    <row r="43" spans="1:5" ht="33">
      <c r="A43" s="69"/>
      <c r="B43" s="70" t="s">
        <v>253</v>
      </c>
      <c r="C43" s="69" t="s">
        <v>8</v>
      </c>
      <c r="D43" s="75">
        <f>2+2+1+2+2+2+2+3+4</f>
        <v>20</v>
      </c>
      <c r="E43" s="71" t="s">
        <v>546</v>
      </c>
    </row>
    <row r="44" spans="1:5" ht="33">
      <c r="A44" s="69"/>
      <c r="B44" s="70" t="s">
        <v>254</v>
      </c>
      <c r="C44" s="69" t="s">
        <v>8</v>
      </c>
      <c r="D44" s="75">
        <v>8</v>
      </c>
      <c r="E44" s="71" t="s">
        <v>545</v>
      </c>
    </row>
    <row r="45" spans="1:5" ht="33">
      <c r="A45" s="69"/>
      <c r="B45" s="70" t="s">
        <v>255</v>
      </c>
      <c r="C45" s="69" t="s">
        <v>8</v>
      </c>
      <c r="D45" s="75">
        <v>8</v>
      </c>
      <c r="E45" s="71" t="s">
        <v>549</v>
      </c>
    </row>
    <row r="46" spans="1:5" ht="25.5" customHeight="1">
      <c r="A46" s="69"/>
      <c r="B46" s="70" t="s">
        <v>256</v>
      </c>
      <c r="C46" s="69" t="s">
        <v>8</v>
      </c>
      <c r="D46" s="69">
        <v>3</v>
      </c>
      <c r="E46" s="71" t="s">
        <v>553</v>
      </c>
    </row>
    <row r="47" spans="1:5" ht="26.25" customHeight="1">
      <c r="A47" s="69"/>
      <c r="B47" s="76" t="s">
        <v>544</v>
      </c>
      <c r="C47" s="69" t="s">
        <v>8</v>
      </c>
      <c r="D47" s="69">
        <v>2</v>
      </c>
      <c r="E47" s="71" t="s">
        <v>552</v>
      </c>
    </row>
    <row r="48" spans="1:5" ht="33">
      <c r="A48" s="69">
        <v>6</v>
      </c>
      <c r="B48" s="70" t="s">
        <v>214</v>
      </c>
      <c r="C48" s="69" t="s">
        <v>8</v>
      </c>
      <c r="D48" s="72">
        <f>9571+6454+6960+5705+3675+1678+1598+3111+1693</f>
        <v>40445</v>
      </c>
      <c r="E48" s="71" t="s">
        <v>754</v>
      </c>
    </row>
    <row r="49" spans="1:5" ht="33.75" customHeight="1">
      <c r="A49" s="69"/>
      <c r="B49" s="70" t="s">
        <v>215</v>
      </c>
      <c r="C49" s="69" t="s">
        <v>67</v>
      </c>
      <c r="D49" s="73">
        <f>(93.3+94+95+95.3+97.8+98.8+100+100.8+101.6)/9</f>
        <v>97.4</v>
      </c>
      <c r="E49" s="71" t="s">
        <v>755</v>
      </c>
    </row>
    <row r="50" spans="1:5" ht="23.25" customHeight="1">
      <c r="A50" s="69"/>
      <c r="B50" s="70" t="s">
        <v>75</v>
      </c>
      <c r="C50" s="69"/>
      <c r="D50" s="77"/>
      <c r="E50" s="71"/>
    </row>
    <row r="51" spans="1:7" ht="33">
      <c r="A51" s="69" t="s">
        <v>257</v>
      </c>
      <c r="B51" s="70" t="s">
        <v>210</v>
      </c>
      <c r="C51" s="69" t="s">
        <v>8</v>
      </c>
      <c r="D51" s="72">
        <f>4842+3153+1606+1725+3624+1651+1425+3111+1693</f>
        <v>22830</v>
      </c>
      <c r="E51" s="71" t="s">
        <v>756</v>
      </c>
      <c r="G51" s="61"/>
    </row>
    <row r="52" spans="1:5" ht="37.5" customHeight="1">
      <c r="A52" s="69"/>
      <c r="B52" s="70" t="s">
        <v>213</v>
      </c>
      <c r="C52" s="69" t="s">
        <v>67</v>
      </c>
      <c r="D52" s="73">
        <f>D51/D13*100</f>
        <v>53.51241122283946</v>
      </c>
      <c r="E52" s="71" t="s">
        <v>757</v>
      </c>
    </row>
    <row r="53" spans="1:5" ht="49.5">
      <c r="A53" s="69" t="s">
        <v>258</v>
      </c>
      <c r="B53" s="70" t="s">
        <v>211</v>
      </c>
      <c r="C53" s="69" t="s">
        <v>8</v>
      </c>
      <c r="D53" s="72">
        <f>4729+3301+5354+3980+51+27+173+0+0</f>
        <v>17615</v>
      </c>
      <c r="E53" s="71" t="s">
        <v>510</v>
      </c>
    </row>
    <row r="54" spans="1:7" ht="33">
      <c r="A54" s="69"/>
      <c r="B54" s="70" t="s">
        <v>212</v>
      </c>
      <c r="C54" s="69" t="s">
        <v>67</v>
      </c>
      <c r="D54" s="73">
        <f>D53/D13*100</f>
        <v>41.2887044980428</v>
      </c>
      <c r="E54" s="71" t="s">
        <v>511</v>
      </c>
      <c r="G54" s="61"/>
    </row>
    <row r="55" spans="1:5" ht="36.75" customHeight="1">
      <c r="A55" s="69" t="s">
        <v>259</v>
      </c>
      <c r="B55" s="70" t="s">
        <v>235</v>
      </c>
      <c r="C55" s="69" t="s">
        <v>236</v>
      </c>
      <c r="D55" s="69" t="s">
        <v>337</v>
      </c>
      <c r="E55" s="71"/>
    </row>
    <row r="56" spans="1:5" ht="22.5" customHeight="1">
      <c r="A56" s="8" t="s">
        <v>80</v>
      </c>
      <c r="B56" s="68" t="s">
        <v>223</v>
      </c>
      <c r="C56" s="8"/>
      <c r="D56" s="78"/>
      <c r="E56" s="71"/>
    </row>
    <row r="57" spans="1:5" ht="33">
      <c r="A57" s="69">
        <v>1</v>
      </c>
      <c r="B57" s="79" t="s">
        <v>63</v>
      </c>
      <c r="C57" s="80" t="s">
        <v>64</v>
      </c>
      <c r="D57" s="80">
        <f>26+15+15+15+11+11+5+8+8</f>
        <v>114</v>
      </c>
      <c r="E57" s="71" t="s">
        <v>513</v>
      </c>
    </row>
    <row r="58" spans="1:5" ht="49.5">
      <c r="A58" s="69"/>
      <c r="B58" s="79" t="s">
        <v>124</v>
      </c>
      <c r="C58" s="80" t="s">
        <v>243</v>
      </c>
      <c r="D58" s="81">
        <f>8180+4440+4360+1950+2393+1850+2250+1315+1025</f>
        <v>27763</v>
      </c>
      <c r="E58" s="71" t="s">
        <v>512</v>
      </c>
    </row>
    <row r="59" spans="1:5" ht="33">
      <c r="A59" s="69">
        <v>2</v>
      </c>
      <c r="B59" s="70" t="s">
        <v>178</v>
      </c>
      <c r="C59" s="69" t="s">
        <v>65</v>
      </c>
      <c r="D59" s="80">
        <f>12.18+15.8+0+7.5+17.1+0+39.2+13+13.6+9.5</f>
        <v>127.88</v>
      </c>
      <c r="E59" s="71" t="s">
        <v>514</v>
      </c>
    </row>
    <row r="60" spans="1:5" ht="35.25" customHeight="1">
      <c r="A60" s="69">
        <v>3</v>
      </c>
      <c r="B60" s="70" t="s">
        <v>179</v>
      </c>
      <c r="C60" s="69" t="s">
        <v>65</v>
      </c>
      <c r="D60" s="80">
        <f>23+33.47+29.5+17.8+21.6+60.4+20.1+18.3+14</f>
        <v>238.17000000000002</v>
      </c>
      <c r="E60" s="71" t="s">
        <v>758</v>
      </c>
    </row>
    <row r="61" spans="1:5" ht="16.5">
      <c r="A61" s="69">
        <v>4</v>
      </c>
      <c r="B61" s="70" t="s">
        <v>335</v>
      </c>
      <c r="C61" s="69" t="s">
        <v>242</v>
      </c>
      <c r="D61" s="80">
        <v>0</v>
      </c>
      <c r="E61" s="82"/>
    </row>
    <row r="62" spans="1:5" ht="16.5">
      <c r="A62" s="69"/>
      <c r="B62" s="70" t="s">
        <v>124</v>
      </c>
      <c r="C62" s="69" t="s">
        <v>243</v>
      </c>
      <c r="D62" s="80">
        <v>0</v>
      </c>
      <c r="E62" s="82"/>
    </row>
    <row r="63" spans="1:5" ht="16.5">
      <c r="A63" s="69"/>
      <c r="B63" s="70" t="s">
        <v>179</v>
      </c>
      <c r="C63" s="69" t="s">
        <v>65</v>
      </c>
      <c r="D63" s="80">
        <v>0</v>
      </c>
      <c r="E63" s="82"/>
    </row>
    <row r="64" spans="1:5" ht="16.5">
      <c r="A64" s="69"/>
      <c r="B64" s="70" t="s">
        <v>241</v>
      </c>
      <c r="C64" s="69" t="s">
        <v>6</v>
      </c>
      <c r="D64" s="80">
        <v>0</v>
      </c>
      <c r="E64" s="82"/>
    </row>
    <row r="65" spans="1:5" ht="16.5">
      <c r="A65" s="69">
        <v>5</v>
      </c>
      <c r="B65" s="70" t="s">
        <v>244</v>
      </c>
      <c r="C65" s="69"/>
      <c r="D65" s="80">
        <v>0</v>
      </c>
      <c r="E65" s="82"/>
    </row>
    <row r="66" spans="1:5" ht="16.5">
      <c r="A66" s="69"/>
      <c r="B66" s="70" t="s">
        <v>124</v>
      </c>
      <c r="C66" s="69" t="s">
        <v>243</v>
      </c>
      <c r="D66" s="80">
        <v>0</v>
      </c>
      <c r="E66" s="82"/>
    </row>
    <row r="67" spans="1:5" ht="16.5">
      <c r="A67" s="69"/>
      <c r="B67" s="70" t="s">
        <v>179</v>
      </c>
      <c r="C67" s="69" t="s">
        <v>65</v>
      </c>
      <c r="D67" s="80">
        <v>0</v>
      </c>
      <c r="E67" s="82"/>
    </row>
    <row r="68" spans="1:7" ht="33">
      <c r="A68" s="69">
        <v>6</v>
      </c>
      <c r="B68" s="70" t="s">
        <v>232</v>
      </c>
      <c r="C68" s="69" t="s">
        <v>6</v>
      </c>
      <c r="D68" s="81">
        <f>D7</f>
        <v>10356</v>
      </c>
      <c r="E68" s="71" t="s">
        <v>759</v>
      </c>
      <c r="G68" s="55"/>
    </row>
    <row r="69" spans="1:5" ht="33">
      <c r="A69" s="69"/>
      <c r="B69" s="70" t="s">
        <v>233</v>
      </c>
      <c r="C69" s="80" t="s">
        <v>67</v>
      </c>
      <c r="D69" s="80">
        <v>100</v>
      </c>
      <c r="E69" s="71" t="s">
        <v>760</v>
      </c>
    </row>
  </sheetData>
  <sheetProtection/>
  <mergeCells count="2">
    <mergeCell ref="A1:E1"/>
    <mergeCell ref="A2:E2"/>
  </mergeCells>
  <printOptions horizontalCentered="1"/>
  <pageMargins left="0.25" right="0" top="0.25" bottom="0.25" header="0.42"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5"/>
  <dimension ref="A1:E30"/>
  <sheetViews>
    <sheetView zoomScalePageLayoutView="0" workbookViewId="0" topLeftCell="A1">
      <selection activeCell="A2" sqref="A2:E2"/>
    </sheetView>
  </sheetViews>
  <sheetFormatPr defaultColWidth="9.140625" defaultRowHeight="12.75"/>
  <cols>
    <col min="1" max="1" width="6.00390625" style="19" bestFit="1" customWidth="1"/>
    <col min="2" max="2" width="48.7109375" style="33" customWidth="1"/>
    <col min="3" max="3" width="12.140625" style="19" customWidth="1"/>
    <col min="4" max="4" width="15.421875" style="3" customWidth="1"/>
    <col min="5" max="5" width="65.140625" style="3" customWidth="1"/>
    <col min="6" max="7" width="9.140625" style="3" customWidth="1"/>
    <col min="8" max="8" width="9.421875" style="3" customWidth="1"/>
    <col min="9" max="9" width="8.7109375" style="3" customWidth="1"/>
    <col min="10" max="16384" width="9.140625" style="3" customWidth="1"/>
  </cols>
  <sheetData>
    <row r="1" spans="1:5" ht="21" customHeight="1">
      <c r="A1" s="211" t="s">
        <v>465</v>
      </c>
      <c r="B1" s="211"/>
      <c r="C1" s="211"/>
      <c r="D1" s="211"/>
      <c r="E1" s="211"/>
    </row>
    <row r="2" spans="1:5" ht="21" customHeight="1">
      <c r="A2" s="212" t="s">
        <v>761</v>
      </c>
      <c r="B2" s="212"/>
      <c r="C2" s="212"/>
      <c r="D2" s="212"/>
      <c r="E2" s="212"/>
    </row>
    <row r="3" spans="1:5" ht="16.5">
      <c r="A3" s="18"/>
      <c r="B3" s="32"/>
      <c r="C3" s="18"/>
      <c r="D3" s="18"/>
      <c r="E3" s="18"/>
    </row>
    <row r="4" spans="1:5" s="19" customFormat="1" ht="26.25" customHeight="1">
      <c r="A4" s="8" t="s">
        <v>11</v>
      </c>
      <c r="B4" s="8" t="s">
        <v>68</v>
      </c>
      <c r="C4" s="8" t="s">
        <v>69</v>
      </c>
      <c r="D4" s="8" t="s">
        <v>1</v>
      </c>
      <c r="E4" s="8" t="s">
        <v>125</v>
      </c>
    </row>
    <row r="5" spans="1:5" ht="16.5">
      <c r="A5" s="8" t="s">
        <v>2</v>
      </c>
      <c r="B5" s="68" t="s">
        <v>76</v>
      </c>
      <c r="C5" s="8"/>
      <c r="D5" s="8"/>
      <c r="E5" s="8"/>
    </row>
    <row r="6" spans="1:5" ht="49.5">
      <c r="A6" s="69">
        <v>1</v>
      </c>
      <c r="B6" s="71" t="s">
        <v>188</v>
      </c>
      <c r="C6" s="69" t="s">
        <v>9</v>
      </c>
      <c r="D6" s="72">
        <v>9561</v>
      </c>
      <c r="E6" s="71" t="s">
        <v>537</v>
      </c>
    </row>
    <row r="7" spans="1:5" ht="49.5">
      <c r="A7" s="69"/>
      <c r="B7" s="71" t="s">
        <v>230</v>
      </c>
      <c r="C7" s="69" t="s">
        <v>67</v>
      </c>
      <c r="D7" s="69">
        <v>98.8</v>
      </c>
      <c r="E7" s="71" t="s">
        <v>538</v>
      </c>
    </row>
    <row r="8" spans="1:5" ht="49.5">
      <c r="A8" s="69">
        <v>2</v>
      </c>
      <c r="B8" s="71" t="s">
        <v>189</v>
      </c>
      <c r="C8" s="69" t="s">
        <v>9</v>
      </c>
      <c r="D8" s="72">
        <f>1440+1181+1118+988+511+182+172+440+316</f>
        <v>6348</v>
      </c>
      <c r="E8" s="71" t="s">
        <v>711</v>
      </c>
    </row>
    <row r="9" spans="1:5" ht="49.5">
      <c r="A9" s="69"/>
      <c r="B9" s="71" t="s">
        <v>231</v>
      </c>
      <c r="C9" s="69" t="s">
        <v>67</v>
      </c>
      <c r="D9" s="120">
        <f>(69+66.5+68.5+67.5+56.5+53+52.5+66.5+67.5)/9</f>
        <v>63.05555555555556</v>
      </c>
      <c r="E9" s="71" t="s">
        <v>710</v>
      </c>
    </row>
    <row r="10" spans="1:5" ht="16.5">
      <c r="A10" s="8" t="s">
        <v>23</v>
      </c>
      <c r="B10" s="68" t="s">
        <v>224</v>
      </c>
      <c r="C10" s="69"/>
      <c r="D10" s="69"/>
      <c r="E10" s="71"/>
    </row>
    <row r="11" spans="1:5" ht="49.5">
      <c r="A11" s="69">
        <v>1</v>
      </c>
      <c r="B11" s="70" t="s">
        <v>225</v>
      </c>
      <c r="C11" s="69" t="s">
        <v>6</v>
      </c>
      <c r="D11" s="72">
        <v>9672</v>
      </c>
      <c r="E11" s="71" t="s">
        <v>716</v>
      </c>
    </row>
    <row r="12" spans="1:5" ht="49.5">
      <c r="A12" s="69"/>
      <c r="B12" s="70" t="s">
        <v>226</v>
      </c>
      <c r="C12" s="69" t="s">
        <v>6</v>
      </c>
      <c r="D12" s="72">
        <v>9106</v>
      </c>
      <c r="E12" s="71" t="s">
        <v>729</v>
      </c>
    </row>
    <row r="13" spans="1:5" ht="49.5">
      <c r="A13" s="69">
        <v>2</v>
      </c>
      <c r="B13" s="70" t="s">
        <v>227</v>
      </c>
      <c r="C13" s="69" t="s">
        <v>6</v>
      </c>
      <c r="D13" s="72">
        <f>2088+1777+1631+1390+750+305+319+610+469</f>
        <v>9339</v>
      </c>
      <c r="E13" s="71" t="s">
        <v>727</v>
      </c>
    </row>
    <row r="14" spans="1:5" ht="49.5">
      <c r="A14" s="69"/>
      <c r="B14" s="70" t="s">
        <v>226</v>
      </c>
      <c r="C14" s="69" t="s">
        <v>6</v>
      </c>
      <c r="D14" s="72">
        <f>2041+1684+1631+1320+750+305+319+561+433</f>
        <v>9044</v>
      </c>
      <c r="E14" s="71" t="s">
        <v>730</v>
      </c>
    </row>
    <row r="15" spans="1:5" ht="49.5">
      <c r="A15" s="69">
        <v>3</v>
      </c>
      <c r="B15" s="70" t="s">
        <v>228</v>
      </c>
      <c r="C15" s="69" t="s">
        <v>6</v>
      </c>
      <c r="D15" s="72">
        <f>1989+1786+1582+1390+750+305+327+610+469</f>
        <v>9208</v>
      </c>
      <c r="E15" s="71" t="s">
        <v>728</v>
      </c>
    </row>
    <row r="16" spans="1:5" ht="49.5">
      <c r="A16" s="69"/>
      <c r="B16" s="70" t="s">
        <v>226</v>
      </c>
      <c r="C16" s="69" t="s">
        <v>6</v>
      </c>
      <c r="D16" s="72">
        <f>1965+1684+1582+1320+750+287+319+561+433</f>
        <v>8901</v>
      </c>
      <c r="E16" s="71" t="s">
        <v>731</v>
      </c>
    </row>
    <row r="17" spans="1:5" ht="49.5">
      <c r="A17" s="69">
        <v>4</v>
      </c>
      <c r="B17" s="70" t="s">
        <v>229</v>
      </c>
      <c r="C17" s="69" t="s">
        <v>67</v>
      </c>
      <c r="D17" s="120">
        <f>D16/9674*100</f>
        <v>92.00951002687616</v>
      </c>
      <c r="E17" s="71" t="s">
        <v>732</v>
      </c>
    </row>
    <row r="18" spans="1:5" s="11" customFormat="1" ht="16.5">
      <c r="A18" s="8" t="s">
        <v>66</v>
      </c>
      <c r="B18" s="68" t="s">
        <v>190</v>
      </c>
      <c r="C18" s="8"/>
      <c r="D18" s="8"/>
      <c r="E18" s="68"/>
    </row>
    <row r="19" spans="1:5" ht="49.5">
      <c r="A19" s="69">
        <v>1</v>
      </c>
      <c r="B19" s="71" t="s">
        <v>191</v>
      </c>
      <c r="C19" s="69" t="s">
        <v>79</v>
      </c>
      <c r="D19" s="72">
        <f>356+620+311+47+103+6+280+3+2</f>
        <v>1728</v>
      </c>
      <c r="E19" s="71" t="s">
        <v>539</v>
      </c>
    </row>
    <row r="20" spans="1:5" ht="49.5">
      <c r="A20" s="69"/>
      <c r="B20" s="71" t="s">
        <v>192</v>
      </c>
      <c r="C20" s="69"/>
      <c r="D20" s="72">
        <f>D19</f>
        <v>1728</v>
      </c>
      <c r="E20" s="71" t="s">
        <v>539</v>
      </c>
    </row>
    <row r="21" spans="1:5" ht="33">
      <c r="A21" s="69"/>
      <c r="B21" s="71" t="s">
        <v>193</v>
      </c>
      <c r="C21" s="69" t="s">
        <v>79</v>
      </c>
      <c r="D21" s="69">
        <v>0</v>
      </c>
      <c r="E21" s="71" t="s">
        <v>477</v>
      </c>
    </row>
    <row r="22" spans="1:5" ht="16.5">
      <c r="A22" s="69">
        <v>2</v>
      </c>
      <c r="B22" s="71" t="s">
        <v>194</v>
      </c>
      <c r="C22" s="69" t="s">
        <v>195</v>
      </c>
      <c r="D22" s="69" t="s">
        <v>237</v>
      </c>
      <c r="E22" s="69" t="s">
        <v>334</v>
      </c>
    </row>
    <row r="23" spans="1:5" s="11" customFormat="1" ht="33">
      <c r="A23" s="8" t="s">
        <v>78</v>
      </c>
      <c r="B23" s="68" t="s">
        <v>81</v>
      </c>
      <c r="C23" s="8"/>
      <c r="D23" s="14"/>
      <c r="E23" s="68"/>
    </row>
    <row r="24" spans="1:5" ht="49.5">
      <c r="A24" s="69">
        <v>1</v>
      </c>
      <c r="B24" s="71" t="s">
        <v>82</v>
      </c>
      <c r="C24" s="69" t="s">
        <v>77</v>
      </c>
      <c r="D24" s="69">
        <v>3</v>
      </c>
      <c r="E24" s="71" t="s">
        <v>733</v>
      </c>
    </row>
    <row r="25" spans="1:5" ht="33">
      <c r="A25" s="69">
        <v>2</v>
      </c>
      <c r="B25" s="71" t="s">
        <v>172</v>
      </c>
      <c r="C25" s="69" t="s">
        <v>73</v>
      </c>
      <c r="D25" s="69">
        <v>9</v>
      </c>
      <c r="E25" s="71" t="s">
        <v>478</v>
      </c>
    </row>
    <row r="26" spans="1:5" s="11" customFormat="1" ht="16.5">
      <c r="A26" s="8" t="s">
        <v>198</v>
      </c>
      <c r="B26" s="68" t="s">
        <v>83</v>
      </c>
      <c r="C26" s="8"/>
      <c r="D26" s="8"/>
      <c r="E26" s="68"/>
    </row>
    <row r="27" spans="1:5" ht="33">
      <c r="A27" s="69">
        <v>1</v>
      </c>
      <c r="B27" s="71" t="s">
        <v>84</v>
      </c>
      <c r="C27" s="69" t="s">
        <v>85</v>
      </c>
      <c r="D27" s="69">
        <f>9+5+3+3+2+3+2+2+1</f>
        <v>30</v>
      </c>
      <c r="E27" s="71" t="s">
        <v>712</v>
      </c>
    </row>
    <row r="28" spans="1:5" ht="33">
      <c r="A28" s="69">
        <v>2</v>
      </c>
      <c r="B28" s="71" t="s">
        <v>86</v>
      </c>
      <c r="C28" s="69" t="s">
        <v>85</v>
      </c>
      <c r="D28" s="69">
        <f>2+5+3+3+2+3+2+2+1</f>
        <v>23</v>
      </c>
      <c r="E28" s="71" t="s">
        <v>713</v>
      </c>
    </row>
    <row r="29" spans="1:5" ht="33">
      <c r="A29" s="69">
        <v>3</v>
      </c>
      <c r="B29" s="71" t="s">
        <v>87</v>
      </c>
      <c r="C29" s="69" t="s">
        <v>85</v>
      </c>
      <c r="D29" s="69">
        <f>D27</f>
        <v>30</v>
      </c>
      <c r="E29" s="71" t="s">
        <v>712</v>
      </c>
    </row>
    <row r="30" spans="1:5" ht="22.5" customHeight="1">
      <c r="A30" s="34"/>
      <c r="B30" s="19"/>
      <c r="D30" s="19"/>
      <c r="E30" s="35"/>
    </row>
  </sheetData>
  <sheetProtection/>
  <mergeCells count="2">
    <mergeCell ref="A1:E1"/>
    <mergeCell ref="A2:E2"/>
  </mergeCells>
  <printOptions horizontalCentered="1"/>
  <pageMargins left="0.104330709" right="0" top="0.06" bottom="0.14"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6"/>
  <dimension ref="A1:L38"/>
  <sheetViews>
    <sheetView zoomScalePageLayoutView="0" workbookViewId="0" topLeftCell="A1">
      <selection activeCell="A2" sqref="A2:E2"/>
    </sheetView>
  </sheetViews>
  <sheetFormatPr defaultColWidth="9.140625" defaultRowHeight="12.75"/>
  <cols>
    <col min="1" max="1" width="4.28125" style="13" bestFit="1" customWidth="1"/>
    <col min="2" max="2" width="50.7109375" style="13" bestFit="1" customWidth="1"/>
    <col min="3" max="3" width="14.28125" style="13" bestFit="1" customWidth="1"/>
    <col min="4" max="4" width="11.28125" style="13" bestFit="1" customWidth="1"/>
    <col min="5" max="5" width="62.8515625" style="13" customWidth="1"/>
    <col min="6" max="8" width="9.140625" style="13" customWidth="1"/>
    <col min="9" max="9" width="14.8515625" style="13" bestFit="1" customWidth="1"/>
    <col min="10" max="10" width="9.140625" style="13" customWidth="1"/>
    <col min="11" max="11" width="12.57421875" style="13" bestFit="1" customWidth="1"/>
    <col min="12" max="12" width="14.421875" style="13" customWidth="1"/>
    <col min="13" max="16384" width="9.140625" style="13" customWidth="1"/>
  </cols>
  <sheetData>
    <row r="1" spans="1:5" ht="18.75">
      <c r="A1" s="221" t="s">
        <v>466</v>
      </c>
      <c r="B1" s="221"/>
      <c r="C1" s="221"/>
      <c r="D1" s="221"/>
      <c r="E1" s="221"/>
    </row>
    <row r="2" spans="1:5" ht="18.75">
      <c r="A2" s="226" t="s">
        <v>761</v>
      </c>
      <c r="B2" s="226"/>
      <c r="C2" s="226"/>
      <c r="D2" s="226"/>
      <c r="E2" s="226"/>
    </row>
    <row r="3" spans="1:5" ht="16.5" customHeight="1">
      <c r="A3" s="31"/>
      <c r="B3" s="31"/>
      <c r="C3" s="31"/>
      <c r="D3" s="31"/>
      <c r="E3" s="36"/>
    </row>
    <row r="4" spans="1:12" ht="25.5" customHeight="1">
      <c r="A4" s="12" t="s">
        <v>11</v>
      </c>
      <c r="B4" s="12" t="s">
        <v>68</v>
      </c>
      <c r="C4" s="12" t="s">
        <v>69</v>
      </c>
      <c r="D4" s="12" t="s">
        <v>1</v>
      </c>
      <c r="E4" s="12" t="s">
        <v>125</v>
      </c>
      <c r="K4" s="16"/>
      <c r="L4" s="17"/>
    </row>
    <row r="5" spans="1:11" s="31" customFormat="1" ht="27.75" customHeight="1">
      <c r="A5" s="12" t="s">
        <v>2</v>
      </c>
      <c r="B5" s="164" t="s">
        <v>491</v>
      </c>
      <c r="C5" s="12"/>
      <c r="D5" s="12"/>
      <c r="E5" s="12"/>
      <c r="I5" s="13"/>
      <c r="K5" s="16"/>
    </row>
    <row r="6" spans="1:11" ht="49.5">
      <c r="A6" s="88">
        <v>1</v>
      </c>
      <c r="B6" s="105" t="s">
        <v>88</v>
      </c>
      <c r="C6" s="88" t="s">
        <v>89</v>
      </c>
      <c r="D6" s="88">
        <f>17+15+14+14+11+7+5+7+8</f>
        <v>98</v>
      </c>
      <c r="E6" s="105" t="s">
        <v>540</v>
      </c>
      <c r="K6" s="16"/>
    </row>
    <row r="7" spans="1:11" ht="49.5">
      <c r="A7" s="88">
        <v>2</v>
      </c>
      <c r="B7" s="105" t="s">
        <v>90</v>
      </c>
      <c r="C7" s="88" t="s">
        <v>91</v>
      </c>
      <c r="D7" s="88">
        <f>193+130+175+141+108+81+69+83+85</f>
        <v>1065</v>
      </c>
      <c r="E7" s="105" t="s">
        <v>541</v>
      </c>
      <c r="K7" s="16"/>
    </row>
    <row r="8" spans="1:11" ht="16.5">
      <c r="A8" s="88">
        <v>3</v>
      </c>
      <c r="B8" s="105" t="s">
        <v>92</v>
      </c>
      <c r="C8" s="88" t="s">
        <v>93</v>
      </c>
      <c r="D8" s="88" t="s">
        <v>272</v>
      </c>
      <c r="E8" s="88" t="s">
        <v>334</v>
      </c>
      <c r="K8" s="16"/>
    </row>
    <row r="9" spans="1:5" s="31" customFormat="1" ht="16.5">
      <c r="A9" s="12" t="s">
        <v>23</v>
      </c>
      <c r="B9" s="164" t="s">
        <v>492</v>
      </c>
      <c r="C9" s="12"/>
      <c r="D9" s="12"/>
      <c r="E9" s="164"/>
    </row>
    <row r="10" spans="1:5" ht="49.5">
      <c r="A10" s="88">
        <v>1</v>
      </c>
      <c r="B10" s="105" t="s">
        <v>94</v>
      </c>
      <c r="C10" s="88" t="s">
        <v>95</v>
      </c>
      <c r="D10" s="88">
        <f>7+7+7+20+21+21+5+21+7</f>
        <v>116</v>
      </c>
      <c r="E10" s="105" t="s">
        <v>542</v>
      </c>
    </row>
    <row r="11" spans="1:5" ht="49.5">
      <c r="A11" s="88">
        <v>2</v>
      </c>
      <c r="B11" s="105" t="s">
        <v>96</v>
      </c>
      <c r="C11" s="88" t="s">
        <v>67</v>
      </c>
      <c r="D11" s="165">
        <f>(100+100+100+100+95+100+100+100+95)/9</f>
        <v>98.88888888888889</v>
      </c>
      <c r="E11" s="105" t="s">
        <v>543</v>
      </c>
    </row>
    <row r="12" spans="1:5" ht="16.5">
      <c r="A12" s="88">
        <v>3</v>
      </c>
      <c r="B12" s="105" t="s">
        <v>97</v>
      </c>
      <c r="C12" s="88" t="s">
        <v>93</v>
      </c>
      <c r="D12" s="88" t="s">
        <v>272</v>
      </c>
      <c r="E12" s="88" t="s">
        <v>334</v>
      </c>
    </row>
    <row r="13" spans="1:5" s="31" customFormat="1" ht="16.5">
      <c r="A13" s="12" t="s">
        <v>66</v>
      </c>
      <c r="B13" s="164" t="s">
        <v>493</v>
      </c>
      <c r="C13" s="12"/>
      <c r="D13" s="12"/>
      <c r="E13" s="164"/>
    </row>
    <row r="14" spans="1:5" ht="16.5">
      <c r="A14" s="12">
        <v>1</v>
      </c>
      <c r="B14" s="164" t="s">
        <v>98</v>
      </c>
      <c r="C14" s="88"/>
      <c r="D14" s="88"/>
      <c r="E14" s="105"/>
    </row>
    <row r="15" spans="1:5" ht="16.5">
      <c r="A15" s="88"/>
      <c r="B15" s="105" t="s">
        <v>99</v>
      </c>
      <c r="C15" s="88" t="s">
        <v>93</v>
      </c>
      <c r="D15" s="88" t="s">
        <v>272</v>
      </c>
      <c r="E15" s="88" t="s">
        <v>334</v>
      </c>
    </row>
    <row r="16" spans="1:5" ht="16.5">
      <c r="A16" s="12">
        <v>2</v>
      </c>
      <c r="B16" s="164" t="s">
        <v>100</v>
      </c>
      <c r="C16" s="88"/>
      <c r="D16" s="88"/>
      <c r="E16" s="105"/>
    </row>
    <row r="17" spans="1:5" ht="16.5">
      <c r="A17" s="88"/>
      <c r="B17" s="105" t="s">
        <v>99</v>
      </c>
      <c r="C17" s="88" t="s">
        <v>93</v>
      </c>
      <c r="D17" s="88" t="s">
        <v>272</v>
      </c>
      <c r="E17" s="88" t="s">
        <v>334</v>
      </c>
    </row>
    <row r="18" spans="1:5" ht="16.5">
      <c r="A18" s="12">
        <v>3</v>
      </c>
      <c r="B18" s="164" t="s">
        <v>101</v>
      </c>
      <c r="C18" s="88"/>
      <c r="D18" s="88"/>
      <c r="E18" s="105"/>
    </row>
    <row r="19" spans="1:5" ht="16.5">
      <c r="A19" s="88"/>
      <c r="B19" s="105" t="s">
        <v>99</v>
      </c>
      <c r="C19" s="88" t="s">
        <v>93</v>
      </c>
      <c r="D19" s="88" t="s">
        <v>272</v>
      </c>
      <c r="E19" s="88" t="s">
        <v>334</v>
      </c>
    </row>
    <row r="20" spans="1:5" ht="16.5">
      <c r="A20" s="12">
        <v>4</v>
      </c>
      <c r="B20" s="164" t="s">
        <v>102</v>
      </c>
      <c r="C20" s="88"/>
      <c r="D20" s="88"/>
      <c r="E20" s="105"/>
    </row>
    <row r="21" spans="1:5" ht="16.5">
      <c r="A21" s="88"/>
      <c r="B21" s="105" t="s">
        <v>99</v>
      </c>
      <c r="C21" s="88" t="s">
        <v>93</v>
      </c>
      <c r="D21" s="88" t="s">
        <v>272</v>
      </c>
      <c r="E21" s="88" t="s">
        <v>334</v>
      </c>
    </row>
    <row r="22" spans="1:5" ht="16.5">
      <c r="A22" s="12">
        <v>5</v>
      </c>
      <c r="B22" s="164" t="s">
        <v>103</v>
      </c>
      <c r="C22" s="88"/>
      <c r="D22" s="88"/>
      <c r="E22" s="105"/>
    </row>
    <row r="23" spans="1:5" ht="27.75" customHeight="1">
      <c r="A23" s="88"/>
      <c r="B23" s="105" t="s">
        <v>99</v>
      </c>
      <c r="C23" s="88" t="s">
        <v>93</v>
      </c>
      <c r="D23" s="88" t="s">
        <v>272</v>
      </c>
      <c r="E23" s="88" t="s">
        <v>334</v>
      </c>
    </row>
    <row r="24" spans="1:5" s="31" customFormat="1" ht="16.5">
      <c r="A24" s="12" t="s">
        <v>78</v>
      </c>
      <c r="B24" s="164" t="s">
        <v>793</v>
      </c>
      <c r="C24" s="12"/>
      <c r="D24" s="12"/>
      <c r="E24" s="164"/>
    </row>
    <row r="25" spans="1:5" ht="16.5">
      <c r="A25" s="8">
        <v>1</v>
      </c>
      <c r="B25" s="68" t="s">
        <v>794</v>
      </c>
      <c r="C25" s="88" t="s">
        <v>104</v>
      </c>
      <c r="D25" s="88" t="s">
        <v>238</v>
      </c>
      <c r="E25" s="88" t="s">
        <v>334</v>
      </c>
    </row>
    <row r="26" spans="1:5" ht="16.5">
      <c r="A26" s="12">
        <v>2</v>
      </c>
      <c r="B26" s="164" t="s">
        <v>105</v>
      </c>
      <c r="C26" s="88"/>
      <c r="D26" s="88"/>
      <c r="E26" s="105"/>
    </row>
    <row r="27" spans="1:5" ht="33">
      <c r="A27" s="166" t="s">
        <v>200</v>
      </c>
      <c r="B27" s="105" t="s">
        <v>106</v>
      </c>
      <c r="C27" s="88" t="s">
        <v>107</v>
      </c>
      <c r="D27" s="88">
        <v>12</v>
      </c>
      <c r="E27" s="105" t="s">
        <v>475</v>
      </c>
    </row>
    <row r="28" spans="1:5" ht="33">
      <c r="A28" s="166" t="s">
        <v>203</v>
      </c>
      <c r="B28" s="105" t="s">
        <v>108</v>
      </c>
      <c r="C28" s="88" t="s">
        <v>107</v>
      </c>
      <c r="D28" s="88">
        <v>12</v>
      </c>
      <c r="E28" s="105" t="s">
        <v>476</v>
      </c>
    </row>
    <row r="29" spans="1:5" ht="33">
      <c r="A29" s="166" t="s">
        <v>467</v>
      </c>
      <c r="B29" s="105" t="s">
        <v>109</v>
      </c>
      <c r="C29" s="88" t="s">
        <v>107</v>
      </c>
      <c r="D29" s="88">
        <v>12</v>
      </c>
      <c r="E29" s="105" t="s">
        <v>475</v>
      </c>
    </row>
    <row r="30" spans="1:5" ht="33">
      <c r="A30" s="166" t="s">
        <v>468</v>
      </c>
      <c r="B30" s="105" t="s">
        <v>110</v>
      </c>
      <c r="C30" s="88" t="s">
        <v>107</v>
      </c>
      <c r="D30" s="88">
        <v>12</v>
      </c>
      <c r="E30" s="105" t="s">
        <v>476</v>
      </c>
    </row>
    <row r="31" spans="1:5" s="31" customFormat="1" ht="16.5">
      <c r="A31" s="12">
        <v>3</v>
      </c>
      <c r="B31" s="164" t="s">
        <v>111</v>
      </c>
      <c r="C31" s="12"/>
      <c r="D31" s="12"/>
      <c r="E31" s="164"/>
    </row>
    <row r="32" spans="1:5" ht="33">
      <c r="A32" s="166" t="s">
        <v>469</v>
      </c>
      <c r="B32" s="105" t="s">
        <v>112</v>
      </c>
      <c r="C32" s="88" t="s">
        <v>113</v>
      </c>
      <c r="D32" s="88">
        <f>8+21+6</f>
        <v>35</v>
      </c>
      <c r="E32" s="105" t="s">
        <v>789</v>
      </c>
    </row>
    <row r="33" spans="1:5" ht="33">
      <c r="A33" s="166" t="s">
        <v>470</v>
      </c>
      <c r="B33" s="105" t="s">
        <v>114</v>
      </c>
      <c r="C33" s="88" t="s">
        <v>113</v>
      </c>
      <c r="D33" s="88">
        <f>D32</f>
        <v>35</v>
      </c>
      <c r="E33" s="105" t="s">
        <v>789</v>
      </c>
    </row>
    <row r="34" spans="1:5" ht="33">
      <c r="A34" s="166" t="s">
        <v>471</v>
      </c>
      <c r="B34" s="105" t="s">
        <v>115</v>
      </c>
      <c r="C34" s="88" t="s">
        <v>113</v>
      </c>
      <c r="D34" s="88">
        <v>0</v>
      </c>
      <c r="E34" s="105" t="s">
        <v>790</v>
      </c>
    </row>
    <row r="35" spans="1:5" ht="33">
      <c r="A35" s="166" t="s">
        <v>472</v>
      </c>
      <c r="B35" s="105" t="s">
        <v>116</v>
      </c>
      <c r="C35" s="88" t="s">
        <v>113</v>
      </c>
      <c r="D35" s="88">
        <v>0</v>
      </c>
      <c r="E35" s="105" t="s">
        <v>790</v>
      </c>
    </row>
    <row r="36" spans="1:5" s="31" customFormat="1" ht="16.5">
      <c r="A36" s="12">
        <v>4</v>
      </c>
      <c r="B36" s="164" t="s">
        <v>117</v>
      </c>
      <c r="C36" s="12"/>
      <c r="D36" s="12"/>
      <c r="E36" s="164"/>
    </row>
    <row r="37" spans="1:5" ht="36" customHeight="1">
      <c r="A37" s="166" t="s">
        <v>473</v>
      </c>
      <c r="B37" s="105" t="s">
        <v>118</v>
      </c>
      <c r="C37" s="88" t="s">
        <v>74</v>
      </c>
      <c r="D37" s="88">
        <v>39</v>
      </c>
      <c r="E37" s="105" t="s">
        <v>791</v>
      </c>
    </row>
    <row r="38" spans="1:5" ht="33">
      <c r="A38" s="166" t="s">
        <v>474</v>
      </c>
      <c r="B38" s="105" t="s">
        <v>119</v>
      </c>
      <c r="C38" s="88" t="s">
        <v>67</v>
      </c>
      <c r="D38" s="93">
        <f>(0.02+0.45+0.05)/3</f>
        <v>0.17333333333333334</v>
      </c>
      <c r="E38" s="105" t="s">
        <v>792</v>
      </c>
    </row>
  </sheetData>
  <sheetProtection/>
  <mergeCells count="2">
    <mergeCell ref="A1:E1"/>
    <mergeCell ref="A2:E2"/>
  </mergeCells>
  <printOptions horizontalCentered="1"/>
  <pageMargins left="0.354330708661417" right="0.104330709" top="0.44" bottom="0.32" header="0.511811023622047" footer="0.511811023622047"/>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U104"/>
  <sheetViews>
    <sheetView zoomScale="80" zoomScaleNormal="80" zoomScalePageLayoutView="0" workbookViewId="0" topLeftCell="A1">
      <selection activeCell="A2" sqref="A2:H2"/>
    </sheetView>
  </sheetViews>
  <sheetFormatPr defaultColWidth="9.140625" defaultRowHeight="12.75"/>
  <cols>
    <col min="1" max="1" width="4.00390625" style="198" customWidth="1"/>
    <col min="2" max="2" width="9.00390625" style="199" customWidth="1"/>
    <col min="3" max="3" width="53.7109375" style="168" customWidth="1"/>
    <col min="4" max="4" width="17.421875" style="200" customWidth="1"/>
    <col min="5" max="5" width="29.57421875" style="201" customWidth="1"/>
    <col min="6" max="6" width="31.140625" style="201" customWidth="1"/>
    <col min="7" max="7" width="9.140625" style="202" hidden="1" customWidth="1"/>
    <col min="8" max="8" width="10.140625" style="202" hidden="1" customWidth="1"/>
    <col min="9" max="21" width="9.140625" style="167" customWidth="1"/>
    <col min="22" max="16384" width="9.140625" style="168" customWidth="1"/>
  </cols>
  <sheetData>
    <row r="1" spans="1:8" ht="18.75">
      <c r="A1" s="243" t="s">
        <v>953</v>
      </c>
      <c r="B1" s="243"/>
      <c r="C1" s="243"/>
      <c r="D1" s="243"/>
      <c r="E1" s="243"/>
      <c r="F1" s="243"/>
      <c r="G1" s="243"/>
      <c r="H1" s="243"/>
    </row>
    <row r="2" spans="1:8" ht="18.75">
      <c r="A2" s="257" t="s">
        <v>761</v>
      </c>
      <c r="B2" s="257"/>
      <c r="C2" s="257"/>
      <c r="D2" s="257"/>
      <c r="E2" s="257"/>
      <c r="F2" s="257"/>
      <c r="G2" s="257"/>
      <c r="H2" s="257"/>
    </row>
    <row r="3" spans="1:8" ht="21" customHeight="1">
      <c r="A3" s="244"/>
      <c r="B3" s="244"/>
      <c r="C3" s="244"/>
      <c r="D3" s="244"/>
      <c r="E3" s="244"/>
      <c r="F3" s="244"/>
      <c r="G3" s="244"/>
      <c r="H3" s="244"/>
    </row>
    <row r="4" spans="1:21" s="172" customFormat="1" ht="47.25" customHeight="1">
      <c r="A4" s="169" t="s">
        <v>11</v>
      </c>
      <c r="B4" s="203" t="s">
        <v>126</v>
      </c>
      <c r="C4" s="204" t="s">
        <v>795</v>
      </c>
      <c r="D4" s="170" t="s">
        <v>796</v>
      </c>
      <c r="E4" s="245" t="s">
        <v>797</v>
      </c>
      <c r="F4" s="245"/>
      <c r="G4" s="205" t="s">
        <v>798</v>
      </c>
      <c r="H4" s="205" t="s">
        <v>799</v>
      </c>
      <c r="I4" s="171"/>
      <c r="J4" s="171"/>
      <c r="K4" s="171"/>
      <c r="L4" s="171"/>
      <c r="M4" s="171"/>
      <c r="N4" s="171"/>
      <c r="O4" s="171"/>
      <c r="P4" s="171"/>
      <c r="Q4" s="171"/>
      <c r="R4" s="171"/>
      <c r="S4" s="171"/>
      <c r="T4" s="171"/>
      <c r="U4" s="171"/>
    </row>
    <row r="5" spans="1:8" ht="25.5" customHeight="1">
      <c r="A5" s="173" t="s">
        <v>2</v>
      </c>
      <c r="B5" s="174"/>
      <c r="C5" s="175" t="s">
        <v>800</v>
      </c>
      <c r="D5" s="176"/>
      <c r="E5" s="236"/>
      <c r="F5" s="236"/>
      <c r="G5" s="205"/>
      <c r="H5" s="205"/>
    </row>
    <row r="6" spans="1:8" ht="60" customHeight="1">
      <c r="A6" s="237">
        <v>1</v>
      </c>
      <c r="B6" s="238" t="s">
        <v>801</v>
      </c>
      <c r="C6" s="177" t="s">
        <v>802</v>
      </c>
      <c r="D6" s="240" t="s">
        <v>803</v>
      </c>
      <c r="E6" s="241" t="s">
        <v>804</v>
      </c>
      <c r="F6" s="242"/>
      <c r="G6" s="181"/>
      <c r="H6" s="181"/>
    </row>
    <row r="7" spans="1:8" ht="36" customHeight="1">
      <c r="A7" s="237"/>
      <c r="B7" s="239"/>
      <c r="C7" s="177" t="s">
        <v>805</v>
      </c>
      <c r="D7" s="240"/>
      <c r="E7" s="242"/>
      <c r="F7" s="242"/>
      <c r="G7" s="181"/>
      <c r="H7" s="181"/>
    </row>
    <row r="8" spans="1:8" ht="15.75">
      <c r="A8" s="173" t="s">
        <v>23</v>
      </c>
      <c r="B8" s="174"/>
      <c r="C8" s="178" t="s">
        <v>806</v>
      </c>
      <c r="D8" s="176"/>
      <c r="E8" s="241"/>
      <c r="F8" s="241"/>
      <c r="G8" s="206"/>
      <c r="H8" s="206"/>
    </row>
    <row r="9" spans="1:8" ht="71.25" customHeight="1">
      <c r="A9" s="237">
        <v>2</v>
      </c>
      <c r="B9" s="246" t="s">
        <v>807</v>
      </c>
      <c r="C9" s="177" t="s">
        <v>808</v>
      </c>
      <c r="D9" s="179" t="s">
        <v>809</v>
      </c>
      <c r="E9" s="241" t="s">
        <v>810</v>
      </c>
      <c r="F9" s="241"/>
      <c r="G9" s="181"/>
      <c r="H9" s="181"/>
    </row>
    <row r="10" spans="1:8" ht="45">
      <c r="A10" s="237"/>
      <c r="B10" s="246"/>
      <c r="C10" s="177" t="s">
        <v>811</v>
      </c>
      <c r="D10" s="179" t="s">
        <v>812</v>
      </c>
      <c r="E10" s="241" t="s">
        <v>813</v>
      </c>
      <c r="F10" s="247"/>
      <c r="G10" s="181"/>
      <c r="H10" s="181"/>
    </row>
    <row r="11" spans="1:8" ht="90">
      <c r="A11" s="237"/>
      <c r="B11" s="246"/>
      <c r="C11" s="177" t="s">
        <v>814</v>
      </c>
      <c r="D11" s="179" t="s">
        <v>815</v>
      </c>
      <c r="E11" s="241" t="s">
        <v>816</v>
      </c>
      <c r="F11" s="241"/>
      <c r="G11" s="181"/>
      <c r="H11" s="181"/>
    </row>
    <row r="12" spans="1:8" ht="74.25" customHeight="1">
      <c r="A12" s="237"/>
      <c r="B12" s="246"/>
      <c r="C12" s="177" t="s">
        <v>817</v>
      </c>
      <c r="D12" s="179" t="s">
        <v>818</v>
      </c>
      <c r="E12" s="241" t="s">
        <v>819</v>
      </c>
      <c r="F12" s="241"/>
      <c r="G12" s="181"/>
      <c r="H12" s="181"/>
    </row>
    <row r="13" spans="1:8" ht="15.75" customHeight="1">
      <c r="A13" s="237">
        <v>3</v>
      </c>
      <c r="B13" s="246" t="s">
        <v>820</v>
      </c>
      <c r="C13" s="240" t="s">
        <v>821</v>
      </c>
      <c r="D13" s="248" t="s">
        <v>822</v>
      </c>
      <c r="E13" s="241" t="s">
        <v>823</v>
      </c>
      <c r="F13" s="241"/>
      <c r="G13" s="181"/>
      <c r="H13" s="181"/>
    </row>
    <row r="14" spans="1:8" ht="15">
      <c r="A14" s="237"/>
      <c r="B14" s="246"/>
      <c r="C14" s="240"/>
      <c r="D14" s="248"/>
      <c r="E14" s="241"/>
      <c r="F14" s="241"/>
      <c r="G14" s="181"/>
      <c r="H14" s="181"/>
    </row>
    <row r="15" spans="1:8" ht="30">
      <c r="A15" s="237"/>
      <c r="B15" s="246"/>
      <c r="C15" s="177" t="s">
        <v>824</v>
      </c>
      <c r="D15" s="248"/>
      <c r="E15" s="241"/>
      <c r="F15" s="241"/>
      <c r="G15" s="181"/>
      <c r="H15" s="181"/>
    </row>
    <row r="16" spans="1:8" ht="15.75" customHeight="1">
      <c r="A16" s="237">
        <v>4</v>
      </c>
      <c r="B16" s="246" t="s">
        <v>825</v>
      </c>
      <c r="C16" s="240" t="s">
        <v>826</v>
      </c>
      <c r="D16" s="248" t="s">
        <v>827</v>
      </c>
      <c r="E16" s="241" t="s">
        <v>828</v>
      </c>
      <c r="F16" s="241"/>
      <c r="G16" s="207" t="str">
        <f>IF(G17*G18=1,"1",IF(G17*G18=0,"0"))</f>
        <v>0</v>
      </c>
      <c r="H16" s="207" t="str">
        <f>IF(H17*H18=1,"1",IF(H17*H18=0,"0"))</f>
        <v>0</v>
      </c>
    </row>
    <row r="17" spans="1:8" ht="15" customHeight="1">
      <c r="A17" s="237"/>
      <c r="B17" s="246"/>
      <c r="C17" s="240"/>
      <c r="D17" s="248"/>
      <c r="E17" s="241"/>
      <c r="F17" s="241"/>
      <c r="G17" s="181"/>
      <c r="H17" s="181"/>
    </row>
    <row r="18" spans="1:8" ht="84.75" customHeight="1">
      <c r="A18" s="237"/>
      <c r="B18" s="246"/>
      <c r="C18" s="177" t="s">
        <v>829</v>
      </c>
      <c r="D18" s="248"/>
      <c r="E18" s="241"/>
      <c r="F18" s="241"/>
      <c r="G18" s="181"/>
      <c r="H18" s="181"/>
    </row>
    <row r="19" spans="1:8" ht="75">
      <c r="A19" s="173">
        <v>5</v>
      </c>
      <c r="B19" s="170" t="s">
        <v>830</v>
      </c>
      <c r="C19" s="177" t="s">
        <v>831</v>
      </c>
      <c r="D19" s="179" t="s">
        <v>832</v>
      </c>
      <c r="E19" s="241" t="s">
        <v>833</v>
      </c>
      <c r="F19" s="241"/>
      <c r="G19" s="181"/>
      <c r="H19" s="181"/>
    </row>
    <row r="20" spans="1:8" ht="15" customHeight="1">
      <c r="A20" s="249">
        <v>6</v>
      </c>
      <c r="B20" s="246" t="s">
        <v>834</v>
      </c>
      <c r="C20" s="240" t="s">
        <v>835</v>
      </c>
      <c r="D20" s="248" t="s">
        <v>836</v>
      </c>
      <c r="E20" s="250" t="s">
        <v>837</v>
      </c>
      <c r="F20" s="250"/>
      <c r="G20" s="181"/>
      <c r="H20" s="181"/>
    </row>
    <row r="21" spans="1:8" ht="15">
      <c r="A21" s="249"/>
      <c r="B21" s="246"/>
      <c r="C21" s="240"/>
      <c r="D21" s="248"/>
      <c r="E21" s="250"/>
      <c r="F21" s="250"/>
      <c r="G21" s="208"/>
      <c r="H21" s="208"/>
    </row>
    <row r="22" spans="1:8" ht="30">
      <c r="A22" s="249"/>
      <c r="B22" s="246"/>
      <c r="C22" s="177" t="s">
        <v>838</v>
      </c>
      <c r="D22" s="248"/>
      <c r="E22" s="250"/>
      <c r="F22" s="250"/>
      <c r="G22" s="181"/>
      <c r="H22" s="181"/>
    </row>
    <row r="23" spans="1:8" ht="30">
      <c r="A23" s="249"/>
      <c r="B23" s="246"/>
      <c r="C23" s="177" t="s">
        <v>839</v>
      </c>
      <c r="D23" s="248"/>
      <c r="E23" s="250"/>
      <c r="F23" s="250"/>
      <c r="G23" s="181"/>
      <c r="H23" s="181"/>
    </row>
    <row r="24" spans="1:8" ht="137.25" customHeight="1">
      <c r="A24" s="173">
        <v>7</v>
      </c>
      <c r="B24" s="174" t="s">
        <v>840</v>
      </c>
      <c r="C24" s="177" t="s">
        <v>841</v>
      </c>
      <c r="D24" s="179" t="s">
        <v>842</v>
      </c>
      <c r="E24" s="241" t="s">
        <v>843</v>
      </c>
      <c r="F24" s="241"/>
      <c r="G24" s="181"/>
      <c r="H24" s="181"/>
    </row>
    <row r="25" spans="1:8" ht="15.75" customHeight="1">
      <c r="A25" s="237">
        <v>8</v>
      </c>
      <c r="B25" s="238" t="s">
        <v>844</v>
      </c>
      <c r="C25" s="177" t="s">
        <v>845</v>
      </c>
      <c r="D25" s="250" t="s">
        <v>846</v>
      </c>
      <c r="E25" s="241" t="s">
        <v>847</v>
      </c>
      <c r="F25" s="241"/>
      <c r="G25" s="181"/>
      <c r="H25" s="181"/>
    </row>
    <row r="26" spans="1:8" ht="15.75" customHeight="1">
      <c r="A26" s="237"/>
      <c r="B26" s="238"/>
      <c r="C26" s="177" t="s">
        <v>848</v>
      </c>
      <c r="D26" s="250"/>
      <c r="E26" s="241"/>
      <c r="F26" s="241"/>
      <c r="G26" s="181"/>
      <c r="H26" s="181"/>
    </row>
    <row r="27" spans="1:8" ht="57.75" customHeight="1">
      <c r="A27" s="237"/>
      <c r="B27" s="238"/>
      <c r="C27" s="177" t="s">
        <v>849</v>
      </c>
      <c r="D27" s="250"/>
      <c r="E27" s="241"/>
      <c r="F27" s="241"/>
      <c r="G27" s="181"/>
      <c r="H27" s="181"/>
    </row>
    <row r="28" spans="1:8" ht="122.25" customHeight="1">
      <c r="A28" s="237"/>
      <c r="B28" s="238"/>
      <c r="C28" s="177" t="s">
        <v>850</v>
      </c>
      <c r="D28" s="180" t="s">
        <v>851</v>
      </c>
      <c r="E28" s="241" t="s">
        <v>852</v>
      </c>
      <c r="F28" s="241"/>
      <c r="G28" s="181"/>
      <c r="H28" s="181"/>
    </row>
    <row r="29" spans="1:8" ht="25.5" customHeight="1">
      <c r="A29" s="237"/>
      <c r="B29" s="238"/>
      <c r="C29" s="177" t="s">
        <v>853</v>
      </c>
      <c r="D29" s="180" t="s">
        <v>854</v>
      </c>
      <c r="E29" s="241" t="s">
        <v>855</v>
      </c>
      <c r="F29" s="241"/>
      <c r="G29" s="181"/>
      <c r="H29" s="181"/>
    </row>
    <row r="30" spans="1:8" ht="15" customHeight="1">
      <c r="A30" s="237">
        <v>9</v>
      </c>
      <c r="B30" s="238" t="s">
        <v>856</v>
      </c>
      <c r="C30" s="251" t="s">
        <v>857</v>
      </c>
      <c r="D30" s="252" t="s">
        <v>858</v>
      </c>
      <c r="E30" s="258" t="s">
        <v>859</v>
      </c>
      <c r="F30" s="259"/>
      <c r="G30" s="181"/>
      <c r="H30" s="181"/>
    </row>
    <row r="31" spans="1:8" ht="62.25" customHeight="1">
      <c r="A31" s="237"/>
      <c r="B31" s="238"/>
      <c r="C31" s="251"/>
      <c r="D31" s="252"/>
      <c r="E31" s="260"/>
      <c r="F31" s="261"/>
      <c r="G31" s="181"/>
      <c r="H31" s="181"/>
    </row>
    <row r="32" spans="1:8" ht="84.75" customHeight="1">
      <c r="A32" s="237"/>
      <c r="B32" s="238"/>
      <c r="C32" s="177" t="s">
        <v>860</v>
      </c>
      <c r="D32" s="179" t="s">
        <v>861</v>
      </c>
      <c r="E32" s="241" t="s">
        <v>862</v>
      </c>
      <c r="F32" s="241"/>
      <c r="G32" s="181"/>
      <c r="H32" s="181"/>
    </row>
    <row r="33" spans="1:8" ht="15.75" customHeight="1">
      <c r="A33" s="173" t="s">
        <v>66</v>
      </c>
      <c r="B33" s="174"/>
      <c r="C33" s="178" t="s">
        <v>863</v>
      </c>
      <c r="D33" s="176"/>
      <c r="E33" s="253"/>
      <c r="F33" s="253"/>
      <c r="G33" s="207"/>
      <c r="H33" s="207"/>
    </row>
    <row r="34" spans="1:8" ht="42" customHeight="1">
      <c r="A34" s="173">
        <v>10</v>
      </c>
      <c r="B34" s="174" t="s">
        <v>864</v>
      </c>
      <c r="C34" s="177" t="s">
        <v>865</v>
      </c>
      <c r="D34" s="176" t="s">
        <v>866</v>
      </c>
      <c r="E34" s="241" t="s">
        <v>867</v>
      </c>
      <c r="F34" s="241"/>
      <c r="G34" s="181"/>
      <c r="H34" s="181"/>
    </row>
    <row r="35" spans="1:8" ht="135.75" customHeight="1">
      <c r="A35" s="173">
        <v>11</v>
      </c>
      <c r="B35" s="174" t="s">
        <v>868</v>
      </c>
      <c r="C35" s="182" t="s">
        <v>869</v>
      </c>
      <c r="D35" s="181" t="s">
        <v>870</v>
      </c>
      <c r="E35" s="241" t="s">
        <v>954</v>
      </c>
      <c r="F35" s="241"/>
      <c r="G35" s="181"/>
      <c r="H35" s="181"/>
    </row>
    <row r="36" spans="1:8" ht="108" customHeight="1">
      <c r="A36" s="173">
        <v>12</v>
      </c>
      <c r="B36" s="183" t="s">
        <v>871</v>
      </c>
      <c r="C36" s="177" t="s">
        <v>872</v>
      </c>
      <c r="D36" s="179" t="s">
        <v>873</v>
      </c>
      <c r="E36" s="241" t="s">
        <v>874</v>
      </c>
      <c r="F36" s="241"/>
      <c r="G36" s="181"/>
      <c r="H36" s="181"/>
    </row>
    <row r="37" spans="1:8" ht="115.5" customHeight="1">
      <c r="A37" s="237">
        <v>13</v>
      </c>
      <c r="B37" s="246" t="s">
        <v>875</v>
      </c>
      <c r="C37" s="177" t="s">
        <v>876</v>
      </c>
      <c r="D37" s="179" t="s">
        <v>877</v>
      </c>
      <c r="E37" s="241" t="s">
        <v>878</v>
      </c>
      <c r="F37" s="241"/>
      <c r="G37" s="181"/>
      <c r="H37" s="181"/>
    </row>
    <row r="38" spans="1:8" ht="129.75" customHeight="1">
      <c r="A38" s="237"/>
      <c r="B38" s="246"/>
      <c r="C38" s="177" t="s">
        <v>879</v>
      </c>
      <c r="D38" s="179" t="s">
        <v>854</v>
      </c>
      <c r="E38" s="241" t="s">
        <v>880</v>
      </c>
      <c r="F38" s="241"/>
      <c r="G38" s="181"/>
      <c r="H38" s="181"/>
    </row>
    <row r="39" spans="1:8" ht="15.75" customHeight="1">
      <c r="A39" s="173" t="s">
        <v>78</v>
      </c>
      <c r="B39" s="174"/>
      <c r="C39" s="178" t="s">
        <v>881</v>
      </c>
      <c r="D39" s="176"/>
      <c r="E39" s="241"/>
      <c r="F39" s="241"/>
      <c r="G39" s="207"/>
      <c r="H39" s="207"/>
    </row>
    <row r="40" spans="1:8" ht="15.75" customHeight="1">
      <c r="A40" s="237">
        <v>14</v>
      </c>
      <c r="B40" s="246" t="s">
        <v>882</v>
      </c>
      <c r="C40" s="178"/>
      <c r="D40" s="176"/>
      <c r="E40" s="184"/>
      <c r="F40" s="184"/>
      <c r="G40" s="181"/>
      <c r="H40" s="181"/>
    </row>
    <row r="41" spans="1:8" ht="48" customHeight="1">
      <c r="A41" s="237"/>
      <c r="B41" s="246"/>
      <c r="C41" s="177" t="s">
        <v>883</v>
      </c>
      <c r="D41" s="185" t="s">
        <v>884</v>
      </c>
      <c r="E41" s="254" t="s">
        <v>885</v>
      </c>
      <c r="F41" s="254"/>
      <c r="G41" s="181"/>
      <c r="H41" s="181"/>
    </row>
    <row r="42" spans="1:21" s="187" customFormat="1" ht="135.75" customHeight="1">
      <c r="A42" s="237"/>
      <c r="B42" s="246"/>
      <c r="C42" s="177" t="s">
        <v>886</v>
      </c>
      <c r="D42" s="179" t="s">
        <v>887</v>
      </c>
      <c r="E42" s="250" t="s">
        <v>888</v>
      </c>
      <c r="F42" s="250"/>
      <c r="G42" s="209"/>
      <c r="H42" s="209"/>
      <c r="I42" s="186"/>
      <c r="J42" s="186"/>
      <c r="K42" s="186"/>
      <c r="L42" s="186"/>
      <c r="M42" s="186"/>
      <c r="N42" s="186"/>
      <c r="O42" s="186"/>
      <c r="P42" s="186"/>
      <c r="Q42" s="186"/>
      <c r="R42" s="186"/>
      <c r="S42" s="186"/>
      <c r="T42" s="186"/>
      <c r="U42" s="186"/>
    </row>
    <row r="43" spans="1:8" ht="55.5" customHeight="1">
      <c r="A43" s="237"/>
      <c r="B43" s="246"/>
      <c r="C43" s="251" t="s">
        <v>889</v>
      </c>
      <c r="D43" s="248" t="s">
        <v>890</v>
      </c>
      <c r="E43" s="254" t="s">
        <v>891</v>
      </c>
      <c r="F43" s="254"/>
      <c r="G43" s="181"/>
      <c r="H43" s="181"/>
    </row>
    <row r="44" spans="1:8" ht="15.75" customHeight="1">
      <c r="A44" s="237">
        <v>15</v>
      </c>
      <c r="B44" s="238" t="s">
        <v>892</v>
      </c>
      <c r="C44" s="251"/>
      <c r="D44" s="248"/>
      <c r="E44" s="255"/>
      <c r="F44" s="255"/>
      <c r="G44" s="188">
        <v>1</v>
      </c>
      <c r="H44" s="188">
        <v>1</v>
      </c>
    </row>
    <row r="45" spans="1:8" ht="66" customHeight="1">
      <c r="A45" s="237"/>
      <c r="B45" s="238"/>
      <c r="C45" s="177" t="s">
        <v>893</v>
      </c>
      <c r="D45" s="179" t="s">
        <v>894</v>
      </c>
      <c r="E45" s="254" t="s">
        <v>895</v>
      </c>
      <c r="F45" s="254"/>
      <c r="G45" s="181"/>
      <c r="H45" s="181"/>
    </row>
    <row r="46" spans="1:8" ht="22.5" customHeight="1">
      <c r="A46" s="237"/>
      <c r="B46" s="238"/>
      <c r="C46" s="177" t="s">
        <v>896</v>
      </c>
      <c r="D46" s="176" t="s">
        <v>897</v>
      </c>
      <c r="E46" s="254" t="s">
        <v>898</v>
      </c>
      <c r="F46" s="254"/>
      <c r="G46" s="181"/>
      <c r="H46" s="181"/>
    </row>
    <row r="47" spans="1:8" ht="60.75" customHeight="1">
      <c r="A47" s="237"/>
      <c r="B47" s="238"/>
      <c r="C47" s="177" t="s">
        <v>899</v>
      </c>
      <c r="D47" s="176" t="s">
        <v>900</v>
      </c>
      <c r="E47" s="254" t="s">
        <v>901</v>
      </c>
      <c r="F47" s="254"/>
      <c r="G47" s="181"/>
      <c r="H47" s="181"/>
    </row>
    <row r="48" spans="1:8" ht="90.75" customHeight="1">
      <c r="A48" s="169">
        <v>16</v>
      </c>
      <c r="B48" s="170" t="s">
        <v>902</v>
      </c>
      <c r="C48" s="177" t="s">
        <v>903</v>
      </c>
      <c r="D48" s="179" t="s">
        <v>904</v>
      </c>
      <c r="E48" s="254" t="s">
        <v>905</v>
      </c>
      <c r="F48" s="254"/>
      <c r="G48" s="181"/>
      <c r="H48" s="181"/>
    </row>
    <row r="49" spans="1:8" ht="15" customHeight="1">
      <c r="A49" s="237">
        <v>17</v>
      </c>
      <c r="B49" s="238" t="s">
        <v>906</v>
      </c>
      <c r="C49" s="177"/>
      <c r="D49" s="176"/>
      <c r="E49" s="255"/>
      <c r="F49" s="255"/>
      <c r="G49" s="181"/>
      <c r="H49" s="181"/>
    </row>
    <row r="50" spans="1:8" ht="64.5" customHeight="1">
      <c r="A50" s="237"/>
      <c r="B50" s="238"/>
      <c r="C50" s="177" t="s">
        <v>907</v>
      </c>
      <c r="D50" s="185">
        <v>0.82</v>
      </c>
      <c r="E50" s="241" t="s">
        <v>908</v>
      </c>
      <c r="F50" s="241"/>
      <c r="G50" s="181"/>
      <c r="H50" s="181"/>
    </row>
    <row r="51" spans="1:8" ht="63.75" customHeight="1">
      <c r="A51" s="237"/>
      <c r="B51" s="238"/>
      <c r="C51" s="177" t="s">
        <v>909</v>
      </c>
      <c r="D51" s="179" t="s">
        <v>910</v>
      </c>
      <c r="E51" s="254" t="s">
        <v>911</v>
      </c>
      <c r="F51" s="254"/>
      <c r="G51" s="181"/>
      <c r="H51" s="181"/>
    </row>
    <row r="52" spans="1:8" ht="77.25" customHeight="1">
      <c r="A52" s="237"/>
      <c r="B52" s="238"/>
      <c r="C52" s="177" t="s">
        <v>912</v>
      </c>
      <c r="D52" s="179" t="s">
        <v>913</v>
      </c>
      <c r="E52" s="254" t="s">
        <v>914</v>
      </c>
      <c r="F52" s="254"/>
      <c r="G52" s="181"/>
      <c r="H52" s="181"/>
    </row>
    <row r="53" spans="1:8" ht="89.25" customHeight="1">
      <c r="A53" s="237"/>
      <c r="B53" s="238"/>
      <c r="C53" s="177" t="s">
        <v>915</v>
      </c>
      <c r="D53" s="179" t="s">
        <v>916</v>
      </c>
      <c r="E53" s="254" t="s">
        <v>917</v>
      </c>
      <c r="F53" s="254"/>
      <c r="G53" s="181"/>
      <c r="H53" s="181"/>
    </row>
    <row r="54" spans="1:8" ht="92.25" customHeight="1">
      <c r="A54" s="237"/>
      <c r="B54" s="238"/>
      <c r="C54" s="177" t="s">
        <v>918</v>
      </c>
      <c r="D54" s="179" t="s">
        <v>919</v>
      </c>
      <c r="E54" s="254" t="s">
        <v>920</v>
      </c>
      <c r="F54" s="254"/>
      <c r="G54" s="181"/>
      <c r="H54" s="181"/>
    </row>
    <row r="55" spans="1:21" s="187" customFormat="1" ht="48" customHeight="1">
      <c r="A55" s="237"/>
      <c r="B55" s="238"/>
      <c r="C55" s="189" t="s">
        <v>921</v>
      </c>
      <c r="D55" s="190" t="s">
        <v>922</v>
      </c>
      <c r="E55" s="256" t="s">
        <v>923</v>
      </c>
      <c r="F55" s="256"/>
      <c r="G55" s="209"/>
      <c r="H55" s="209"/>
      <c r="I55" s="186"/>
      <c r="J55" s="186"/>
      <c r="K55" s="186"/>
      <c r="L55" s="186"/>
      <c r="M55" s="186"/>
      <c r="N55" s="186"/>
      <c r="O55" s="186"/>
      <c r="P55" s="186"/>
      <c r="Q55" s="186"/>
      <c r="R55" s="186"/>
      <c r="S55" s="186"/>
      <c r="T55" s="186"/>
      <c r="U55" s="186"/>
    </row>
    <row r="56" spans="1:21" s="187" customFormat="1" ht="48" customHeight="1">
      <c r="A56" s="237"/>
      <c r="B56" s="238"/>
      <c r="C56" s="189" t="s">
        <v>924</v>
      </c>
      <c r="D56" s="190" t="s">
        <v>922</v>
      </c>
      <c r="E56" s="256" t="s">
        <v>925</v>
      </c>
      <c r="F56" s="256"/>
      <c r="G56" s="209"/>
      <c r="H56" s="209"/>
      <c r="I56" s="186"/>
      <c r="J56" s="186"/>
      <c r="K56" s="186"/>
      <c r="L56" s="186"/>
      <c r="M56" s="186"/>
      <c r="N56" s="186"/>
      <c r="O56" s="186"/>
      <c r="P56" s="186"/>
      <c r="Q56" s="186"/>
      <c r="R56" s="186"/>
      <c r="S56" s="186"/>
      <c r="T56" s="186"/>
      <c r="U56" s="186"/>
    </row>
    <row r="57" spans="1:8" ht="86.25" customHeight="1">
      <c r="A57" s="237"/>
      <c r="B57" s="238"/>
      <c r="C57" s="177" t="s">
        <v>926</v>
      </c>
      <c r="D57" s="179" t="s">
        <v>922</v>
      </c>
      <c r="E57" s="254" t="s">
        <v>927</v>
      </c>
      <c r="F57" s="254"/>
      <c r="G57" s="181"/>
      <c r="H57" s="181"/>
    </row>
    <row r="58" spans="1:8" ht="15.75" customHeight="1">
      <c r="A58" s="173" t="s">
        <v>198</v>
      </c>
      <c r="B58" s="174"/>
      <c r="C58" s="178" t="s">
        <v>928</v>
      </c>
      <c r="D58" s="176"/>
      <c r="E58" s="254"/>
      <c r="F58" s="254"/>
      <c r="G58" s="210"/>
      <c r="H58" s="210"/>
    </row>
    <row r="59" spans="1:8" ht="15" customHeight="1">
      <c r="A59" s="237">
        <v>18</v>
      </c>
      <c r="B59" s="238" t="s">
        <v>929</v>
      </c>
      <c r="C59" s="251" t="s">
        <v>930</v>
      </c>
      <c r="D59" s="248" t="s">
        <v>931</v>
      </c>
      <c r="E59" s="241" t="s">
        <v>932</v>
      </c>
      <c r="F59" s="241"/>
      <c r="G59" s="181"/>
      <c r="H59" s="181"/>
    </row>
    <row r="60" spans="1:8" ht="94.5" customHeight="1">
      <c r="A60" s="237"/>
      <c r="B60" s="238"/>
      <c r="C60" s="251"/>
      <c r="D60" s="248"/>
      <c r="E60" s="241"/>
      <c r="F60" s="241"/>
      <c r="G60" s="181"/>
      <c r="H60" s="181"/>
    </row>
    <row r="61" spans="1:8" ht="99" customHeight="1">
      <c r="A61" s="237"/>
      <c r="B61" s="238"/>
      <c r="C61" s="177" t="s">
        <v>933</v>
      </c>
      <c r="D61" s="176" t="s">
        <v>934</v>
      </c>
      <c r="E61" s="254" t="s">
        <v>935</v>
      </c>
      <c r="F61" s="254"/>
      <c r="G61" s="181"/>
      <c r="H61" s="181"/>
    </row>
    <row r="62" spans="1:8" ht="100.5" customHeight="1">
      <c r="A62" s="237"/>
      <c r="B62" s="238"/>
      <c r="C62" s="177" t="s">
        <v>936</v>
      </c>
      <c r="D62" s="176" t="s">
        <v>937</v>
      </c>
      <c r="E62" s="254" t="s">
        <v>938</v>
      </c>
      <c r="F62" s="254"/>
      <c r="G62" s="181"/>
      <c r="H62" s="181"/>
    </row>
    <row r="63" spans="1:8" ht="87" customHeight="1">
      <c r="A63" s="237"/>
      <c r="B63" s="238"/>
      <c r="C63" s="177" t="s">
        <v>939</v>
      </c>
      <c r="D63" s="176" t="s">
        <v>940</v>
      </c>
      <c r="E63" s="254" t="s">
        <v>941</v>
      </c>
      <c r="F63" s="254"/>
      <c r="G63" s="181"/>
      <c r="H63" s="181"/>
    </row>
    <row r="64" spans="1:8" ht="87" customHeight="1">
      <c r="A64" s="237"/>
      <c r="B64" s="238"/>
      <c r="C64" s="177" t="s">
        <v>942</v>
      </c>
      <c r="D64" s="176" t="s">
        <v>943</v>
      </c>
      <c r="E64" s="254" t="s">
        <v>944</v>
      </c>
      <c r="F64" s="254"/>
      <c r="G64" s="181"/>
      <c r="H64" s="181"/>
    </row>
    <row r="65" spans="1:8" ht="87" customHeight="1">
      <c r="A65" s="237"/>
      <c r="B65" s="238"/>
      <c r="C65" s="177" t="s">
        <v>945</v>
      </c>
      <c r="D65" s="176" t="s">
        <v>943</v>
      </c>
      <c r="E65" s="254" t="s">
        <v>946</v>
      </c>
      <c r="F65" s="254"/>
      <c r="G65" s="181"/>
      <c r="H65" s="181"/>
    </row>
    <row r="66" spans="1:8" ht="87" customHeight="1">
      <c r="A66" s="237">
        <v>19</v>
      </c>
      <c r="B66" s="238" t="s">
        <v>947</v>
      </c>
      <c r="C66" s="177" t="s">
        <v>948</v>
      </c>
      <c r="D66" s="176" t="s">
        <v>943</v>
      </c>
      <c r="E66" s="254" t="s">
        <v>949</v>
      </c>
      <c r="F66" s="254"/>
      <c r="G66" s="181"/>
      <c r="H66" s="181"/>
    </row>
    <row r="67" spans="1:21" s="191" customFormat="1" ht="79.5" customHeight="1">
      <c r="A67" s="237"/>
      <c r="B67" s="238"/>
      <c r="C67" s="177" t="s">
        <v>950</v>
      </c>
      <c r="D67" s="176" t="s">
        <v>951</v>
      </c>
      <c r="E67" s="254" t="s">
        <v>952</v>
      </c>
      <c r="F67" s="254"/>
      <c r="G67" s="181"/>
      <c r="H67" s="181"/>
      <c r="I67" s="167"/>
      <c r="J67" s="167"/>
      <c r="K67" s="167"/>
      <c r="L67" s="167"/>
      <c r="M67" s="167"/>
      <c r="N67" s="167"/>
      <c r="O67" s="167"/>
      <c r="P67" s="167"/>
      <c r="Q67" s="167"/>
      <c r="R67" s="167"/>
      <c r="S67" s="167"/>
      <c r="T67" s="167"/>
      <c r="U67" s="167"/>
    </row>
    <row r="68" spans="1:8" s="167" customFormat="1" ht="15">
      <c r="A68" s="192"/>
      <c r="B68" s="193"/>
      <c r="C68" s="194"/>
      <c r="D68" s="195"/>
      <c r="E68" s="196"/>
      <c r="F68" s="196"/>
      <c r="G68" s="197"/>
      <c r="H68" s="197"/>
    </row>
    <row r="69" spans="1:8" s="167" customFormat="1" ht="15">
      <c r="A69" s="192"/>
      <c r="B69" s="193"/>
      <c r="D69" s="195"/>
      <c r="E69" s="196"/>
      <c r="F69" s="196"/>
      <c r="G69" s="197"/>
      <c r="H69" s="197"/>
    </row>
    <row r="70" spans="1:8" s="167" customFormat="1" ht="15">
      <c r="A70" s="192"/>
      <c r="B70" s="193"/>
      <c r="D70" s="195"/>
      <c r="E70" s="196"/>
      <c r="F70" s="196"/>
      <c r="G70" s="197"/>
      <c r="H70" s="197"/>
    </row>
    <row r="71" spans="1:8" s="167" customFormat="1" ht="15">
      <c r="A71" s="192"/>
      <c r="B71" s="193"/>
      <c r="D71" s="195"/>
      <c r="E71" s="196"/>
      <c r="F71" s="196"/>
      <c r="G71" s="197"/>
      <c r="H71" s="197"/>
    </row>
    <row r="72" spans="1:8" s="167" customFormat="1" ht="15">
      <c r="A72" s="192"/>
      <c r="B72" s="193"/>
      <c r="D72" s="195"/>
      <c r="E72" s="196"/>
      <c r="F72" s="196"/>
      <c r="G72" s="197"/>
      <c r="H72" s="197"/>
    </row>
    <row r="73" spans="1:8" s="167" customFormat="1" ht="15">
      <c r="A73" s="192"/>
      <c r="B73" s="193"/>
      <c r="D73" s="195"/>
      <c r="E73" s="196"/>
      <c r="F73" s="196"/>
      <c r="G73" s="197"/>
      <c r="H73" s="197"/>
    </row>
    <row r="74" spans="1:8" s="167" customFormat="1" ht="15">
      <c r="A74" s="192"/>
      <c r="B74" s="193"/>
      <c r="D74" s="195"/>
      <c r="E74" s="196"/>
      <c r="F74" s="196"/>
      <c r="G74" s="197"/>
      <c r="H74" s="197"/>
    </row>
    <row r="75" spans="1:8" s="167" customFormat="1" ht="15">
      <c r="A75" s="192"/>
      <c r="B75" s="193"/>
      <c r="D75" s="195"/>
      <c r="E75" s="196"/>
      <c r="F75" s="196"/>
      <c r="G75" s="197"/>
      <c r="H75" s="197"/>
    </row>
    <row r="76" spans="1:8" s="167" customFormat="1" ht="15">
      <c r="A76" s="192"/>
      <c r="B76" s="193"/>
      <c r="D76" s="195"/>
      <c r="E76" s="196"/>
      <c r="F76" s="196"/>
      <c r="G76" s="197"/>
      <c r="H76" s="197"/>
    </row>
    <row r="77" spans="1:8" s="167" customFormat="1" ht="15">
      <c r="A77" s="192"/>
      <c r="B77" s="193"/>
      <c r="D77" s="195"/>
      <c r="E77" s="196"/>
      <c r="F77" s="196"/>
      <c r="G77" s="197"/>
      <c r="H77" s="197"/>
    </row>
    <row r="78" spans="1:8" s="167" customFormat="1" ht="15">
      <c r="A78" s="192"/>
      <c r="B78" s="193"/>
      <c r="D78" s="195"/>
      <c r="E78" s="196"/>
      <c r="F78" s="196"/>
      <c r="G78" s="197"/>
      <c r="H78" s="197"/>
    </row>
    <row r="79" spans="1:8" s="167" customFormat="1" ht="15">
      <c r="A79" s="192"/>
      <c r="B79" s="193"/>
      <c r="D79" s="195"/>
      <c r="E79" s="196"/>
      <c r="F79" s="196"/>
      <c r="G79" s="197"/>
      <c r="H79" s="197"/>
    </row>
    <row r="80" spans="1:8" s="167" customFormat="1" ht="15">
      <c r="A80" s="192"/>
      <c r="B80" s="193"/>
      <c r="D80" s="195"/>
      <c r="E80" s="196"/>
      <c r="F80" s="196"/>
      <c r="G80" s="197"/>
      <c r="H80" s="197"/>
    </row>
    <row r="81" spans="1:8" s="167" customFormat="1" ht="15">
      <c r="A81" s="192"/>
      <c r="B81" s="193"/>
      <c r="D81" s="195"/>
      <c r="E81" s="196"/>
      <c r="F81" s="196"/>
      <c r="G81" s="197"/>
      <c r="H81" s="197"/>
    </row>
    <row r="82" spans="1:8" s="167" customFormat="1" ht="15">
      <c r="A82" s="192"/>
      <c r="B82" s="193"/>
      <c r="D82" s="195"/>
      <c r="E82" s="196"/>
      <c r="F82" s="196"/>
      <c r="G82" s="197"/>
      <c r="H82" s="197"/>
    </row>
    <row r="83" spans="1:8" s="167" customFormat="1" ht="15">
      <c r="A83" s="192"/>
      <c r="B83" s="193"/>
      <c r="D83" s="195"/>
      <c r="E83" s="196"/>
      <c r="F83" s="196"/>
      <c r="G83" s="197"/>
      <c r="H83" s="197"/>
    </row>
    <row r="84" spans="1:8" s="167" customFormat="1" ht="15">
      <c r="A84" s="192"/>
      <c r="B84" s="193"/>
      <c r="D84" s="195"/>
      <c r="E84" s="196"/>
      <c r="F84" s="196"/>
      <c r="G84" s="197"/>
      <c r="H84" s="197"/>
    </row>
    <row r="85" spans="1:8" s="167" customFormat="1" ht="15">
      <c r="A85" s="192"/>
      <c r="B85" s="193"/>
      <c r="D85" s="195"/>
      <c r="E85" s="196"/>
      <c r="F85" s="196"/>
      <c r="G85" s="197"/>
      <c r="H85" s="197"/>
    </row>
    <row r="86" spans="1:8" s="167" customFormat="1" ht="15">
      <c r="A86" s="192"/>
      <c r="B86" s="193"/>
      <c r="D86" s="195"/>
      <c r="E86" s="196"/>
      <c r="F86" s="196"/>
      <c r="G86" s="197"/>
      <c r="H86" s="197"/>
    </row>
    <row r="87" spans="1:8" s="167" customFormat="1" ht="15">
      <c r="A87" s="192"/>
      <c r="B87" s="193"/>
      <c r="D87" s="195"/>
      <c r="E87" s="196"/>
      <c r="F87" s="196"/>
      <c r="G87" s="197"/>
      <c r="H87" s="197"/>
    </row>
    <row r="88" spans="1:8" s="167" customFormat="1" ht="15">
      <c r="A88" s="192"/>
      <c r="B88" s="193"/>
      <c r="D88" s="195"/>
      <c r="E88" s="196"/>
      <c r="F88" s="196"/>
      <c r="G88" s="197"/>
      <c r="H88" s="197"/>
    </row>
    <row r="89" spans="1:8" s="167" customFormat="1" ht="15">
      <c r="A89" s="192"/>
      <c r="B89" s="193"/>
      <c r="D89" s="195"/>
      <c r="E89" s="196"/>
      <c r="F89" s="196"/>
      <c r="G89" s="197"/>
      <c r="H89" s="197"/>
    </row>
    <row r="90" spans="1:8" s="167" customFormat="1" ht="15">
      <c r="A90" s="192"/>
      <c r="B90" s="193"/>
      <c r="D90" s="195"/>
      <c r="E90" s="196"/>
      <c r="F90" s="196"/>
      <c r="G90" s="197"/>
      <c r="H90" s="197"/>
    </row>
    <row r="91" spans="1:8" s="167" customFormat="1" ht="15">
      <c r="A91" s="192"/>
      <c r="B91" s="193"/>
      <c r="D91" s="195"/>
      <c r="E91" s="196"/>
      <c r="F91" s="196"/>
      <c r="G91" s="197"/>
      <c r="H91" s="197"/>
    </row>
    <row r="92" spans="1:8" s="167" customFormat="1" ht="15">
      <c r="A92" s="192"/>
      <c r="B92" s="193"/>
      <c r="D92" s="195"/>
      <c r="E92" s="196"/>
      <c r="F92" s="196"/>
      <c r="G92" s="197"/>
      <c r="H92" s="197"/>
    </row>
    <row r="93" spans="1:8" s="167" customFormat="1" ht="15">
      <c r="A93" s="192"/>
      <c r="B93" s="193"/>
      <c r="D93" s="195"/>
      <c r="E93" s="196"/>
      <c r="F93" s="196"/>
      <c r="G93" s="197"/>
      <c r="H93" s="197"/>
    </row>
    <row r="94" spans="1:8" s="167" customFormat="1" ht="15">
      <c r="A94" s="192"/>
      <c r="B94" s="193"/>
      <c r="D94" s="195"/>
      <c r="E94" s="196"/>
      <c r="F94" s="196"/>
      <c r="G94" s="197"/>
      <c r="H94" s="197"/>
    </row>
    <row r="95" spans="1:8" s="167" customFormat="1" ht="15">
      <c r="A95" s="192"/>
      <c r="B95" s="193"/>
      <c r="D95" s="195"/>
      <c r="E95" s="196"/>
      <c r="F95" s="196"/>
      <c r="G95" s="197"/>
      <c r="H95" s="197"/>
    </row>
    <row r="96" spans="1:8" s="167" customFormat="1" ht="15">
      <c r="A96" s="192"/>
      <c r="B96" s="193"/>
      <c r="D96" s="195"/>
      <c r="E96" s="196"/>
      <c r="F96" s="196"/>
      <c r="G96" s="197"/>
      <c r="H96" s="197"/>
    </row>
    <row r="97" spans="1:8" s="167" customFormat="1" ht="15">
      <c r="A97" s="192"/>
      <c r="B97" s="193"/>
      <c r="D97" s="195"/>
      <c r="E97" s="196"/>
      <c r="F97" s="196"/>
      <c r="G97" s="197"/>
      <c r="H97" s="197"/>
    </row>
    <row r="98" spans="1:8" s="167" customFormat="1" ht="15">
      <c r="A98" s="192"/>
      <c r="B98" s="193"/>
      <c r="D98" s="195"/>
      <c r="E98" s="196"/>
      <c r="F98" s="196"/>
      <c r="G98" s="197"/>
      <c r="H98" s="197"/>
    </row>
    <row r="99" spans="1:8" s="167" customFormat="1" ht="15">
      <c r="A99" s="192"/>
      <c r="B99" s="193"/>
      <c r="D99" s="195"/>
      <c r="E99" s="196"/>
      <c r="F99" s="196"/>
      <c r="G99" s="197"/>
      <c r="H99" s="197"/>
    </row>
    <row r="100" spans="1:8" s="167" customFormat="1" ht="15">
      <c r="A100" s="192"/>
      <c r="B100" s="193"/>
      <c r="D100" s="195"/>
      <c r="E100" s="196"/>
      <c r="F100" s="196"/>
      <c r="G100" s="197"/>
      <c r="H100" s="197"/>
    </row>
    <row r="101" spans="1:8" s="167" customFormat="1" ht="15">
      <c r="A101" s="192"/>
      <c r="B101" s="193"/>
      <c r="D101" s="195"/>
      <c r="E101" s="196"/>
      <c r="F101" s="196"/>
      <c r="G101" s="197"/>
      <c r="H101" s="197"/>
    </row>
    <row r="102" spans="1:8" s="167" customFormat="1" ht="15">
      <c r="A102" s="192"/>
      <c r="B102" s="193"/>
      <c r="D102" s="195"/>
      <c r="E102" s="196"/>
      <c r="F102" s="196"/>
      <c r="G102" s="197"/>
      <c r="H102" s="197"/>
    </row>
    <row r="103" spans="1:8" s="167" customFormat="1" ht="15">
      <c r="A103" s="192"/>
      <c r="B103" s="193"/>
      <c r="D103" s="195"/>
      <c r="E103" s="196"/>
      <c r="F103" s="196"/>
      <c r="G103" s="197"/>
      <c r="H103" s="197"/>
    </row>
    <row r="104" spans="1:8" s="167" customFormat="1" ht="15">
      <c r="A104" s="192"/>
      <c r="B104" s="193"/>
      <c r="D104" s="195"/>
      <c r="E104" s="196"/>
      <c r="F104" s="196"/>
      <c r="G104" s="197"/>
      <c r="H104" s="197"/>
    </row>
  </sheetData>
  <sheetProtection/>
  <mergeCells count="94">
    <mergeCell ref="E30:F31"/>
    <mergeCell ref="E61:F61"/>
    <mergeCell ref="E62:F62"/>
    <mergeCell ref="E63:F63"/>
    <mergeCell ref="E64:F64"/>
    <mergeCell ref="A59:A65"/>
    <mergeCell ref="B59:B65"/>
    <mergeCell ref="C59:C60"/>
    <mergeCell ref="D59:D60"/>
    <mergeCell ref="E59:F60"/>
    <mergeCell ref="A66:A67"/>
    <mergeCell ref="B66:B67"/>
    <mergeCell ref="E66:F66"/>
    <mergeCell ref="E67:F67"/>
    <mergeCell ref="E52:F52"/>
    <mergeCell ref="E53:F53"/>
    <mergeCell ref="E54:F54"/>
    <mergeCell ref="E55:F55"/>
    <mergeCell ref="E65:F65"/>
    <mergeCell ref="E56:F56"/>
    <mergeCell ref="E57:F57"/>
    <mergeCell ref="E58:F58"/>
    <mergeCell ref="E44:F44"/>
    <mergeCell ref="E45:F45"/>
    <mergeCell ref="E46:F46"/>
    <mergeCell ref="E47:F47"/>
    <mergeCell ref="E48:F48"/>
    <mergeCell ref="A49:A57"/>
    <mergeCell ref="B49:B57"/>
    <mergeCell ref="E49:F49"/>
    <mergeCell ref="E50:F50"/>
    <mergeCell ref="E51:F51"/>
    <mergeCell ref="E39:F39"/>
    <mergeCell ref="A40:A43"/>
    <mergeCell ref="B40:B43"/>
    <mergeCell ref="E41:F41"/>
    <mergeCell ref="E42:F42"/>
    <mergeCell ref="C43:C44"/>
    <mergeCell ref="D43:D44"/>
    <mergeCell ref="E43:F43"/>
    <mergeCell ref="A44:A47"/>
    <mergeCell ref="B44:B47"/>
    <mergeCell ref="E33:F33"/>
    <mergeCell ref="E34:F34"/>
    <mergeCell ref="E35:F35"/>
    <mergeCell ref="E36:F36"/>
    <mergeCell ref="A37:A38"/>
    <mergeCell ref="B37:B38"/>
    <mergeCell ref="E37:F37"/>
    <mergeCell ref="E38:F38"/>
    <mergeCell ref="A30:A32"/>
    <mergeCell ref="B30:B32"/>
    <mergeCell ref="C30:C31"/>
    <mergeCell ref="D30:D31"/>
    <mergeCell ref="E32:F32"/>
    <mergeCell ref="E24:F24"/>
    <mergeCell ref="A25:A29"/>
    <mergeCell ref="B25:B29"/>
    <mergeCell ref="D25:D27"/>
    <mergeCell ref="E25:F27"/>
    <mergeCell ref="E28:F28"/>
    <mergeCell ref="E29:F29"/>
    <mergeCell ref="E19:F19"/>
    <mergeCell ref="A20:A23"/>
    <mergeCell ref="B20:B23"/>
    <mergeCell ref="C20:C21"/>
    <mergeCell ref="D20:D23"/>
    <mergeCell ref="E20:F23"/>
    <mergeCell ref="A16:A18"/>
    <mergeCell ref="B16:B18"/>
    <mergeCell ref="C16:C17"/>
    <mergeCell ref="D16:D18"/>
    <mergeCell ref="E16:F18"/>
    <mergeCell ref="A13:A15"/>
    <mergeCell ref="B13:B15"/>
    <mergeCell ref="C13:C14"/>
    <mergeCell ref="D13:D15"/>
    <mergeCell ref="E13:F15"/>
    <mergeCell ref="E8:F8"/>
    <mergeCell ref="A9:A12"/>
    <mergeCell ref="B9:B12"/>
    <mergeCell ref="E9:F9"/>
    <mergeCell ref="E10:F10"/>
    <mergeCell ref="E11:F11"/>
    <mergeCell ref="E12:F12"/>
    <mergeCell ref="E5:F5"/>
    <mergeCell ref="A6:A7"/>
    <mergeCell ref="B6:B7"/>
    <mergeCell ref="D6:D7"/>
    <mergeCell ref="E6:F7"/>
    <mergeCell ref="A1:H1"/>
    <mergeCell ref="A3:H3"/>
    <mergeCell ref="E4:F4"/>
    <mergeCell ref="A2:H2"/>
  </mergeCells>
  <printOptions/>
  <pageMargins left="0.09" right="0" top="0.2" bottom="0.2"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I15"/>
  <sheetViews>
    <sheetView zoomScalePageLayoutView="0" workbookViewId="0" topLeftCell="A6">
      <selection activeCell="L8" sqref="L8"/>
    </sheetView>
  </sheetViews>
  <sheetFormatPr defaultColWidth="9.140625" defaultRowHeight="12.75"/>
  <cols>
    <col min="1" max="1" width="4.57421875" style="19" customWidth="1"/>
    <col min="2" max="2" width="34.00390625" style="3" customWidth="1"/>
    <col min="3" max="3" width="8.421875" style="3" customWidth="1"/>
    <col min="4" max="4" width="7.7109375" style="3" customWidth="1"/>
    <col min="5" max="5" width="13.57421875" style="3" customWidth="1"/>
    <col min="6" max="6" width="11.57421875" style="3" customWidth="1"/>
    <col min="7" max="7" width="10.421875" style="3" customWidth="1"/>
    <col min="8" max="8" width="10.57421875" style="3" customWidth="1"/>
    <col min="9" max="16384" width="9.140625" style="3" customWidth="1"/>
  </cols>
  <sheetData>
    <row r="1" spans="1:8" ht="18.75">
      <c r="A1" s="220" t="s">
        <v>336</v>
      </c>
      <c r="B1" s="220"/>
      <c r="C1" s="220"/>
      <c r="D1" s="220"/>
      <c r="E1" s="220"/>
      <c r="F1" s="220"/>
      <c r="G1" s="220"/>
      <c r="H1" s="220"/>
    </row>
    <row r="2" spans="1:8" ht="16.5">
      <c r="A2" s="212" t="s">
        <v>761</v>
      </c>
      <c r="B2" s="212"/>
      <c r="C2" s="212"/>
      <c r="D2" s="212"/>
      <c r="E2" s="212"/>
      <c r="F2" s="212"/>
      <c r="G2" s="212"/>
      <c r="H2" s="212"/>
    </row>
    <row r="3" spans="1:8" s="11" customFormat="1" ht="11.25" customHeight="1">
      <c r="A3" s="18"/>
      <c r="B3" s="38"/>
      <c r="C3" s="18"/>
      <c r="D3" s="18"/>
      <c r="E3" s="18"/>
      <c r="F3" s="18"/>
      <c r="G3" s="18"/>
      <c r="H3" s="18"/>
    </row>
    <row r="4" spans="1:8" ht="29.25" customHeight="1">
      <c r="A4" s="216" t="s">
        <v>11</v>
      </c>
      <c r="B4" s="216" t="s">
        <v>10</v>
      </c>
      <c r="C4" s="216" t="s">
        <v>12</v>
      </c>
      <c r="D4" s="216"/>
      <c r="E4" s="216"/>
      <c r="F4" s="216"/>
      <c r="G4" s="216" t="s">
        <v>13</v>
      </c>
      <c r="H4" s="216"/>
    </row>
    <row r="5" spans="1:8" s="11" customFormat="1" ht="49.5">
      <c r="A5" s="216"/>
      <c r="B5" s="216"/>
      <c r="C5" s="8" t="s">
        <v>14</v>
      </c>
      <c r="D5" s="8" t="s">
        <v>15</v>
      </c>
      <c r="E5" s="8" t="s">
        <v>762</v>
      </c>
      <c r="F5" s="8" t="s">
        <v>16</v>
      </c>
      <c r="G5" s="8" t="s">
        <v>17</v>
      </c>
      <c r="H5" s="8" t="s">
        <v>18</v>
      </c>
    </row>
    <row r="6" spans="1:8" s="11" customFormat="1" ht="33">
      <c r="A6" s="52">
        <v>1</v>
      </c>
      <c r="B6" s="53" t="s">
        <v>19</v>
      </c>
      <c r="C6" s="54"/>
      <c r="D6" s="52" t="s">
        <v>334</v>
      </c>
      <c r="E6" s="52"/>
      <c r="F6" s="52" t="s">
        <v>334</v>
      </c>
      <c r="G6" s="52"/>
      <c r="H6" s="52"/>
    </row>
    <row r="7" spans="1:8" ht="82.5">
      <c r="A7" s="10">
        <v>2</v>
      </c>
      <c r="B7" s="39" t="s">
        <v>20</v>
      </c>
      <c r="C7" s="21"/>
      <c r="D7" s="10" t="s">
        <v>334</v>
      </c>
      <c r="E7" s="10"/>
      <c r="F7" s="52" t="s">
        <v>334</v>
      </c>
      <c r="G7" s="21"/>
      <c r="H7" s="21"/>
    </row>
    <row r="8" spans="1:8" ht="49.5">
      <c r="A8" s="10">
        <v>3</v>
      </c>
      <c r="B8" s="39" t="s">
        <v>21</v>
      </c>
      <c r="C8" s="21"/>
      <c r="D8" s="10" t="s">
        <v>334</v>
      </c>
      <c r="E8" s="21"/>
      <c r="F8" s="52" t="s">
        <v>334</v>
      </c>
      <c r="G8" s="21"/>
      <c r="H8" s="21"/>
    </row>
    <row r="9" spans="1:9" ht="66">
      <c r="A9" s="40">
        <v>4</v>
      </c>
      <c r="B9" s="42" t="s">
        <v>22</v>
      </c>
      <c r="C9" s="41"/>
      <c r="D9" s="40" t="s">
        <v>334</v>
      </c>
      <c r="E9" s="41"/>
      <c r="F9" s="52" t="s">
        <v>334</v>
      </c>
      <c r="G9" s="41"/>
      <c r="H9" s="41"/>
      <c r="I9" s="43"/>
    </row>
    <row r="10" spans="1:9" ht="22.5" customHeight="1">
      <c r="A10" s="44"/>
      <c r="B10" s="45"/>
      <c r="C10" s="46"/>
      <c r="D10" s="46"/>
      <c r="E10" s="46"/>
      <c r="F10" s="46"/>
      <c r="G10" s="46"/>
      <c r="H10" s="46"/>
      <c r="I10" s="19"/>
    </row>
    <row r="11" spans="1:9" ht="25.5" customHeight="1">
      <c r="A11" s="8" t="s">
        <v>11</v>
      </c>
      <c r="B11" s="216" t="s">
        <v>24</v>
      </c>
      <c r="C11" s="216"/>
      <c r="D11" s="216" t="s">
        <v>25</v>
      </c>
      <c r="E11" s="216"/>
      <c r="F11" s="216" t="s">
        <v>26</v>
      </c>
      <c r="G11" s="216"/>
      <c r="H11" s="216"/>
      <c r="I11" s="47"/>
    </row>
    <row r="12" spans="1:9" ht="36.75" customHeight="1">
      <c r="A12" s="52">
        <v>1</v>
      </c>
      <c r="B12" s="217" t="s">
        <v>27</v>
      </c>
      <c r="C12" s="217"/>
      <c r="D12" s="219" t="s">
        <v>334</v>
      </c>
      <c r="E12" s="219"/>
      <c r="F12" s="219"/>
      <c r="G12" s="219"/>
      <c r="H12" s="219"/>
      <c r="I12" s="47"/>
    </row>
    <row r="13" spans="1:9" ht="36.75" customHeight="1">
      <c r="A13" s="10">
        <v>2</v>
      </c>
      <c r="B13" s="218" t="s">
        <v>28</v>
      </c>
      <c r="C13" s="218"/>
      <c r="D13" s="214" t="s">
        <v>334</v>
      </c>
      <c r="E13" s="214"/>
      <c r="F13" s="214"/>
      <c r="G13" s="214"/>
      <c r="H13" s="214"/>
      <c r="I13" s="19"/>
    </row>
    <row r="14" spans="1:9" ht="36.75" customHeight="1">
      <c r="A14" s="40">
        <v>3</v>
      </c>
      <c r="B14" s="215" t="s">
        <v>216</v>
      </c>
      <c r="C14" s="215"/>
      <c r="D14" s="213" t="s">
        <v>334</v>
      </c>
      <c r="E14" s="213"/>
      <c r="F14" s="213"/>
      <c r="G14" s="213"/>
      <c r="H14" s="213"/>
      <c r="I14" s="19"/>
    </row>
    <row r="15" ht="12.75" customHeight="1">
      <c r="I15" s="19"/>
    </row>
  </sheetData>
  <sheetProtection/>
  <mergeCells count="18">
    <mergeCell ref="A4:A5"/>
    <mergeCell ref="F12:H12"/>
    <mergeCell ref="F11:H11"/>
    <mergeCell ref="B4:B5"/>
    <mergeCell ref="A1:H1"/>
    <mergeCell ref="G4:H4"/>
    <mergeCell ref="C4:F4"/>
    <mergeCell ref="A2:H2"/>
    <mergeCell ref="F14:H14"/>
    <mergeCell ref="D13:E13"/>
    <mergeCell ref="D14:E14"/>
    <mergeCell ref="B14:C14"/>
    <mergeCell ref="B11:C11"/>
    <mergeCell ref="D11:E11"/>
    <mergeCell ref="B12:C12"/>
    <mergeCell ref="B13:C13"/>
    <mergeCell ref="F13:H13"/>
    <mergeCell ref="D12:E12"/>
  </mergeCells>
  <printOptions horizontalCentered="1"/>
  <pageMargins left="0.25" right="0" top="1.06" bottom="0.11" header="0.27" footer="0.3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K41"/>
  <sheetViews>
    <sheetView zoomScalePageLayoutView="0" workbookViewId="0" topLeftCell="A1">
      <selection activeCell="A2" sqref="A2:I2"/>
    </sheetView>
  </sheetViews>
  <sheetFormatPr defaultColWidth="9.140625" defaultRowHeight="12.75"/>
  <cols>
    <col min="1" max="1" width="4.28125" style="13" customWidth="1"/>
    <col min="2" max="2" width="34.28125" style="64" customWidth="1"/>
    <col min="3" max="3" width="10.28125" style="64" bestFit="1" customWidth="1"/>
    <col min="4" max="4" width="9.00390625" style="64" bestFit="1" customWidth="1"/>
    <col min="5" max="5" width="8.140625" style="64" bestFit="1" customWidth="1"/>
    <col min="6" max="6" width="6.8515625" style="64" customWidth="1"/>
    <col min="7" max="7" width="6.7109375" style="64" bestFit="1" customWidth="1"/>
    <col min="8" max="8" width="8.57421875" style="64" customWidth="1"/>
    <col min="9" max="9" width="55.140625" style="64" customWidth="1"/>
    <col min="10" max="10" width="9.140625" style="64" customWidth="1"/>
    <col min="11" max="11" width="13.140625" style="64" bestFit="1" customWidth="1"/>
    <col min="12" max="16384" width="9.140625" style="64" customWidth="1"/>
  </cols>
  <sheetData>
    <row r="1" spans="1:9" ht="18.75">
      <c r="A1" s="221" t="s">
        <v>338</v>
      </c>
      <c r="B1" s="221"/>
      <c r="C1" s="221"/>
      <c r="D1" s="221"/>
      <c r="E1" s="221"/>
      <c r="F1" s="221"/>
      <c r="G1" s="221"/>
      <c r="H1" s="221"/>
      <c r="I1" s="221"/>
    </row>
    <row r="2" spans="1:9" ht="18.75">
      <c r="A2" s="225" t="s">
        <v>761</v>
      </c>
      <c r="B2" s="225"/>
      <c r="C2" s="225"/>
      <c r="D2" s="225"/>
      <c r="E2" s="225"/>
      <c r="F2" s="225"/>
      <c r="G2" s="225"/>
      <c r="H2" s="225"/>
      <c r="I2" s="225"/>
    </row>
    <row r="3" spans="2:9" ht="16.5">
      <c r="B3" s="66"/>
      <c r="C3" s="66"/>
      <c r="D3" s="66"/>
      <c r="E3" s="66"/>
      <c r="F3" s="66"/>
      <c r="G3" s="224" t="s">
        <v>764</v>
      </c>
      <c r="H3" s="224"/>
      <c r="I3" s="224"/>
    </row>
    <row r="4" spans="1:9" s="65" customFormat="1" ht="18.75" customHeight="1">
      <c r="A4" s="222" t="s">
        <v>11</v>
      </c>
      <c r="B4" s="222" t="s">
        <v>29</v>
      </c>
      <c r="C4" s="223" t="s">
        <v>222</v>
      </c>
      <c r="D4" s="222" t="s">
        <v>122</v>
      </c>
      <c r="E4" s="222"/>
      <c r="F4" s="222"/>
      <c r="G4" s="222"/>
      <c r="H4" s="223" t="s">
        <v>123</v>
      </c>
      <c r="I4" s="223" t="s">
        <v>125</v>
      </c>
    </row>
    <row r="5" spans="1:9" s="65" customFormat="1" ht="50.25" customHeight="1">
      <c r="A5" s="222"/>
      <c r="B5" s="222"/>
      <c r="C5" s="223"/>
      <c r="D5" s="84" t="s">
        <v>479</v>
      </c>
      <c r="E5" s="84" t="s">
        <v>763</v>
      </c>
      <c r="F5" s="84" t="s">
        <v>30</v>
      </c>
      <c r="G5" s="84" t="s">
        <v>121</v>
      </c>
      <c r="H5" s="223"/>
      <c r="I5" s="223"/>
    </row>
    <row r="6" spans="1:9" s="65" customFormat="1" ht="21" customHeight="1">
      <c r="A6" s="12">
        <v>1</v>
      </c>
      <c r="B6" s="85" t="s">
        <v>31</v>
      </c>
      <c r="C6" s="86">
        <f>C8</f>
        <v>103.63000000000001</v>
      </c>
      <c r="D6" s="86">
        <f>C6</f>
        <v>103.63000000000001</v>
      </c>
      <c r="E6" s="86"/>
      <c r="F6" s="86"/>
      <c r="G6" s="86"/>
      <c r="H6" s="48"/>
      <c r="I6" s="87"/>
    </row>
    <row r="7" spans="1:9" ht="21" customHeight="1">
      <c r="A7" s="88"/>
      <c r="B7" s="89" t="s">
        <v>217</v>
      </c>
      <c r="C7" s="90"/>
      <c r="D7" s="90"/>
      <c r="E7" s="90"/>
      <c r="F7" s="90"/>
      <c r="G7" s="90"/>
      <c r="H7" s="91"/>
      <c r="I7" s="92"/>
    </row>
    <row r="8" spans="1:9" ht="49.5">
      <c r="A8" s="88"/>
      <c r="B8" s="89" t="s">
        <v>765</v>
      </c>
      <c r="C8" s="90">
        <f>D8</f>
        <v>103.63000000000001</v>
      </c>
      <c r="D8" s="90">
        <f>7.6+10.5+13.47+28.8+20.73+5.8+6.2+5.05+5.48</f>
        <v>103.63000000000001</v>
      </c>
      <c r="E8" s="90"/>
      <c r="F8" s="90"/>
      <c r="G8" s="90"/>
      <c r="H8" s="91"/>
      <c r="I8" s="92" t="s">
        <v>734</v>
      </c>
    </row>
    <row r="9" spans="1:9" ht="16.5">
      <c r="A9" s="88"/>
      <c r="B9" s="89" t="s">
        <v>766</v>
      </c>
      <c r="C9" s="90"/>
      <c r="D9" s="90"/>
      <c r="E9" s="90"/>
      <c r="F9" s="90"/>
      <c r="G9" s="90"/>
      <c r="H9" s="91"/>
      <c r="I9" s="92"/>
    </row>
    <row r="10" spans="1:9" ht="21" customHeight="1">
      <c r="A10" s="88"/>
      <c r="B10" s="89" t="s">
        <v>32</v>
      </c>
      <c r="C10" s="93"/>
      <c r="D10" s="93"/>
      <c r="E10" s="93"/>
      <c r="F10" s="93"/>
      <c r="G10" s="93"/>
      <c r="H10" s="88"/>
      <c r="I10" s="92"/>
    </row>
    <row r="11" spans="1:9" ht="49.5">
      <c r="A11" s="88"/>
      <c r="B11" s="89" t="s">
        <v>767</v>
      </c>
      <c r="C11" s="90">
        <f>D11</f>
        <v>103.63000000000001</v>
      </c>
      <c r="D11" s="90">
        <f>D8</f>
        <v>103.63000000000001</v>
      </c>
      <c r="E11" s="90"/>
      <c r="F11" s="90"/>
      <c r="G11" s="90"/>
      <c r="H11" s="91"/>
      <c r="I11" s="92" t="s">
        <v>734</v>
      </c>
    </row>
    <row r="12" spans="1:9" ht="16.5">
      <c r="A12" s="88"/>
      <c r="B12" s="89" t="s">
        <v>768</v>
      </c>
      <c r="C12" s="90"/>
      <c r="D12" s="90"/>
      <c r="E12" s="90"/>
      <c r="F12" s="90"/>
      <c r="G12" s="90"/>
      <c r="H12" s="91"/>
      <c r="I12" s="92"/>
    </row>
    <row r="13" spans="1:9" ht="16.5">
      <c r="A13" s="88"/>
      <c r="B13" s="89" t="s">
        <v>769</v>
      </c>
      <c r="C13" s="90"/>
      <c r="D13" s="90"/>
      <c r="E13" s="90"/>
      <c r="F13" s="90"/>
      <c r="G13" s="90"/>
      <c r="H13" s="91"/>
      <c r="I13" s="92"/>
    </row>
    <row r="14" spans="1:9" s="65" customFormat="1" ht="21" customHeight="1">
      <c r="A14" s="12">
        <v>2</v>
      </c>
      <c r="B14" s="85" t="s">
        <v>33</v>
      </c>
      <c r="C14" s="86">
        <f>C16+C17</f>
        <v>100.87000000000002</v>
      </c>
      <c r="D14" s="86">
        <f>D16+D17</f>
        <v>100.87000000000002</v>
      </c>
      <c r="E14" s="86"/>
      <c r="F14" s="86"/>
      <c r="G14" s="86"/>
      <c r="H14" s="94"/>
      <c r="I14" s="87"/>
    </row>
    <row r="15" spans="1:9" s="65" customFormat="1" ht="21" customHeight="1">
      <c r="A15" s="12"/>
      <c r="B15" s="89" t="s">
        <v>217</v>
      </c>
      <c r="C15" s="86"/>
      <c r="D15" s="86"/>
      <c r="E15" s="86"/>
      <c r="F15" s="86"/>
      <c r="G15" s="86"/>
      <c r="H15" s="91"/>
      <c r="I15" s="92"/>
    </row>
    <row r="16" spans="1:9" s="65" customFormat="1" ht="49.5">
      <c r="A16" s="12"/>
      <c r="B16" s="89" t="s">
        <v>218</v>
      </c>
      <c r="C16" s="90">
        <f>D16</f>
        <v>100.87000000000002</v>
      </c>
      <c r="D16" s="90">
        <f>21.5+10.8+10.61+8.2+10.38+6.96+10.9+7.87+13.65</f>
        <v>100.87000000000002</v>
      </c>
      <c r="E16" s="90"/>
      <c r="F16" s="90"/>
      <c r="G16" s="90"/>
      <c r="H16" s="91"/>
      <c r="I16" s="92" t="s">
        <v>735</v>
      </c>
    </row>
    <row r="17" spans="1:9" s="65" customFormat="1" ht="16.5">
      <c r="A17" s="12"/>
      <c r="B17" s="89" t="s">
        <v>219</v>
      </c>
      <c r="C17" s="90"/>
      <c r="D17" s="90"/>
      <c r="E17" s="90"/>
      <c r="F17" s="90"/>
      <c r="G17" s="90"/>
      <c r="H17" s="91"/>
      <c r="I17" s="92"/>
    </row>
    <row r="18" spans="1:9" ht="21" customHeight="1">
      <c r="A18" s="88"/>
      <c r="B18" s="89" t="s">
        <v>32</v>
      </c>
      <c r="C18" s="90"/>
      <c r="D18" s="90"/>
      <c r="E18" s="90"/>
      <c r="F18" s="90"/>
      <c r="G18" s="90"/>
      <c r="H18" s="91"/>
      <c r="I18" s="92"/>
    </row>
    <row r="19" spans="1:9" ht="49.5">
      <c r="A19" s="88"/>
      <c r="B19" s="89" t="s">
        <v>265</v>
      </c>
      <c r="C19" s="90">
        <f>D19</f>
        <v>100.87000000000002</v>
      </c>
      <c r="D19" s="90">
        <f>D16</f>
        <v>100.87000000000002</v>
      </c>
      <c r="E19" s="90"/>
      <c r="F19" s="90"/>
      <c r="G19" s="90"/>
      <c r="H19" s="91"/>
      <c r="I19" s="92" t="s">
        <v>735</v>
      </c>
    </row>
    <row r="20" spans="1:9" ht="16.5">
      <c r="A20" s="88"/>
      <c r="B20" s="89" t="s">
        <v>266</v>
      </c>
      <c r="C20" s="90"/>
      <c r="D20" s="90"/>
      <c r="E20" s="90"/>
      <c r="F20" s="90"/>
      <c r="G20" s="90"/>
      <c r="H20" s="91"/>
      <c r="I20" s="92"/>
    </row>
    <row r="21" spans="1:11" ht="16.5">
      <c r="A21" s="88"/>
      <c r="B21" s="89" t="s">
        <v>267</v>
      </c>
      <c r="C21" s="90"/>
      <c r="D21" s="90"/>
      <c r="E21" s="90"/>
      <c r="F21" s="90"/>
      <c r="G21" s="90"/>
      <c r="H21" s="95"/>
      <c r="I21" s="92"/>
      <c r="K21" s="67"/>
    </row>
    <row r="22" spans="1:9" s="65" customFormat="1" ht="21" customHeight="1">
      <c r="A22" s="12">
        <v>3</v>
      </c>
      <c r="B22" s="85" t="s">
        <v>34</v>
      </c>
      <c r="C22" s="86">
        <f>C24</f>
        <v>80.11</v>
      </c>
      <c r="D22" s="86">
        <f>D24</f>
        <v>80.11</v>
      </c>
      <c r="E22" s="86"/>
      <c r="F22" s="86"/>
      <c r="G22" s="86"/>
      <c r="H22" s="96"/>
      <c r="I22" s="87"/>
    </row>
    <row r="23" spans="1:9" ht="21" customHeight="1">
      <c r="A23" s="88"/>
      <c r="B23" s="89" t="s">
        <v>217</v>
      </c>
      <c r="C23" s="90"/>
      <c r="D23" s="93"/>
      <c r="E23" s="93"/>
      <c r="F23" s="93"/>
      <c r="G23" s="93"/>
      <c r="H23" s="95"/>
      <c r="I23" s="92"/>
    </row>
    <row r="24" spans="1:9" ht="49.5">
      <c r="A24" s="88"/>
      <c r="B24" s="89" t="s">
        <v>220</v>
      </c>
      <c r="C24" s="90">
        <f>D24</f>
        <v>80.11</v>
      </c>
      <c r="D24" s="90">
        <f>5.69+11.6+13.7+9.65+11.36+11.58+4.56+4.49+7.48</f>
        <v>80.11</v>
      </c>
      <c r="E24" s="90"/>
      <c r="F24" s="90"/>
      <c r="G24" s="90"/>
      <c r="H24" s="95"/>
      <c r="I24" s="92" t="s">
        <v>736</v>
      </c>
    </row>
    <row r="25" spans="1:9" ht="16.5">
      <c r="A25" s="88"/>
      <c r="B25" s="89" t="s">
        <v>221</v>
      </c>
      <c r="C25" s="90"/>
      <c r="D25" s="90"/>
      <c r="E25" s="90"/>
      <c r="F25" s="90"/>
      <c r="G25" s="90"/>
      <c r="H25" s="97"/>
      <c r="I25" s="92"/>
    </row>
    <row r="26" spans="1:9" ht="16.5">
      <c r="A26" s="88"/>
      <c r="B26" s="89" t="s">
        <v>32</v>
      </c>
      <c r="C26" s="90"/>
      <c r="D26" s="90"/>
      <c r="E26" s="90"/>
      <c r="F26" s="90"/>
      <c r="G26" s="90"/>
      <c r="H26" s="95"/>
      <c r="I26" s="92"/>
    </row>
    <row r="27" spans="1:9" ht="49.5">
      <c r="A27" s="88"/>
      <c r="B27" s="89" t="s">
        <v>270</v>
      </c>
      <c r="C27" s="90">
        <f>D27</f>
        <v>80.11</v>
      </c>
      <c r="D27" s="90">
        <f>D24</f>
        <v>80.11</v>
      </c>
      <c r="E27" s="90"/>
      <c r="F27" s="90"/>
      <c r="G27" s="90"/>
      <c r="H27" s="95"/>
      <c r="I27" s="92" t="s">
        <v>736</v>
      </c>
    </row>
    <row r="28" spans="1:9" ht="16.5">
      <c r="A28" s="88"/>
      <c r="B28" s="89" t="s">
        <v>268</v>
      </c>
      <c r="C28" s="90"/>
      <c r="D28" s="90"/>
      <c r="E28" s="90"/>
      <c r="F28" s="90"/>
      <c r="G28" s="90"/>
      <c r="H28" s="91"/>
      <c r="I28" s="92"/>
    </row>
    <row r="29" spans="1:9" ht="16.5">
      <c r="A29" s="88"/>
      <c r="B29" s="89" t="s">
        <v>269</v>
      </c>
      <c r="C29" s="90"/>
      <c r="D29" s="90"/>
      <c r="E29" s="90"/>
      <c r="F29" s="90"/>
      <c r="G29" s="90"/>
      <c r="H29" s="91"/>
      <c r="I29" s="92"/>
    </row>
    <row r="30" spans="1:9" s="65" customFormat="1" ht="21" customHeight="1">
      <c r="A30" s="12">
        <v>4</v>
      </c>
      <c r="B30" s="85" t="s">
        <v>35</v>
      </c>
      <c r="C30" s="86">
        <f>C32</f>
        <v>32.16</v>
      </c>
      <c r="D30" s="86">
        <f>D32</f>
        <v>32.16</v>
      </c>
      <c r="E30" s="86"/>
      <c r="F30" s="86"/>
      <c r="G30" s="86"/>
      <c r="H30" s="98"/>
      <c r="I30" s="87"/>
    </row>
    <row r="31" spans="1:9" ht="21" customHeight="1">
      <c r="A31" s="88"/>
      <c r="B31" s="89" t="s">
        <v>217</v>
      </c>
      <c r="C31" s="90"/>
      <c r="D31" s="90"/>
      <c r="E31" s="90"/>
      <c r="F31" s="90"/>
      <c r="G31" s="90"/>
      <c r="H31" s="91"/>
      <c r="I31" s="92"/>
    </row>
    <row r="32" spans="1:9" ht="33">
      <c r="A32" s="88"/>
      <c r="B32" s="89" t="s">
        <v>220</v>
      </c>
      <c r="C32" s="90">
        <f>D32</f>
        <v>32.16</v>
      </c>
      <c r="D32" s="90">
        <f>4.35+8.68+7.56+7.39+4.18</f>
        <v>32.16</v>
      </c>
      <c r="E32" s="90"/>
      <c r="F32" s="90"/>
      <c r="G32" s="90"/>
      <c r="H32" s="91"/>
      <c r="I32" s="92" t="s">
        <v>737</v>
      </c>
    </row>
    <row r="33" spans="1:9" ht="16.5">
      <c r="A33" s="88"/>
      <c r="B33" s="89" t="s">
        <v>221</v>
      </c>
      <c r="C33" s="90"/>
      <c r="D33" s="90"/>
      <c r="E33" s="90"/>
      <c r="F33" s="90"/>
      <c r="G33" s="90"/>
      <c r="H33" s="99"/>
      <c r="I33" s="92"/>
    </row>
    <row r="34" spans="1:9" ht="16.5">
      <c r="A34" s="88"/>
      <c r="B34" s="89" t="s">
        <v>32</v>
      </c>
      <c r="C34" s="90"/>
      <c r="D34" s="90"/>
      <c r="E34" s="90"/>
      <c r="F34" s="90"/>
      <c r="G34" s="90"/>
      <c r="H34" s="91"/>
      <c r="I34" s="92"/>
    </row>
    <row r="35" spans="1:9" ht="33">
      <c r="A35" s="88"/>
      <c r="B35" s="89" t="s">
        <v>270</v>
      </c>
      <c r="C35" s="90">
        <f>D35</f>
        <v>32.16</v>
      </c>
      <c r="D35" s="90">
        <f>D32</f>
        <v>32.16</v>
      </c>
      <c r="E35" s="90"/>
      <c r="F35" s="90"/>
      <c r="G35" s="90"/>
      <c r="H35" s="91"/>
      <c r="I35" s="92" t="s">
        <v>737</v>
      </c>
    </row>
    <row r="36" spans="1:9" ht="16.5">
      <c r="A36" s="88"/>
      <c r="B36" s="89" t="s">
        <v>268</v>
      </c>
      <c r="C36" s="90"/>
      <c r="D36" s="90"/>
      <c r="E36" s="90"/>
      <c r="F36" s="90"/>
      <c r="G36" s="90"/>
      <c r="H36" s="99"/>
      <c r="I36" s="92"/>
    </row>
    <row r="37" spans="1:9" ht="16.5">
      <c r="A37" s="88"/>
      <c r="B37" s="89" t="s">
        <v>269</v>
      </c>
      <c r="C37" s="90"/>
      <c r="D37" s="90"/>
      <c r="E37" s="90"/>
      <c r="F37" s="90"/>
      <c r="G37" s="90"/>
      <c r="H37" s="91"/>
      <c r="I37" s="92"/>
    </row>
    <row r="38" spans="1:9" s="32" customFormat="1" ht="16.5">
      <c r="A38" s="8">
        <v>5</v>
      </c>
      <c r="B38" s="100" t="s">
        <v>234</v>
      </c>
      <c r="C38" s="101"/>
      <c r="D38" s="101"/>
      <c r="E38" s="101"/>
      <c r="F38" s="101"/>
      <c r="G38" s="101"/>
      <c r="H38" s="102"/>
      <c r="I38" s="103"/>
    </row>
    <row r="39" spans="1:9" ht="33">
      <c r="A39" s="88"/>
      <c r="B39" s="89" t="s">
        <v>239</v>
      </c>
      <c r="C39" s="104">
        <v>5</v>
      </c>
      <c r="D39" s="90"/>
      <c r="E39" s="90"/>
      <c r="F39" s="90"/>
      <c r="G39" s="90"/>
      <c r="H39" s="91"/>
      <c r="I39" s="92" t="s">
        <v>738</v>
      </c>
    </row>
    <row r="40" spans="1:9" ht="33">
      <c r="A40" s="88"/>
      <c r="B40" s="105" t="s">
        <v>739</v>
      </c>
      <c r="C40" s="104">
        <v>6</v>
      </c>
      <c r="D40" s="90"/>
      <c r="E40" s="90"/>
      <c r="F40" s="90"/>
      <c r="G40" s="90"/>
      <c r="H40" s="91"/>
      <c r="I40" s="92" t="s">
        <v>740</v>
      </c>
    </row>
    <row r="41" spans="1:9" ht="33">
      <c r="A41" s="88"/>
      <c r="B41" s="105" t="s">
        <v>240</v>
      </c>
      <c r="C41" s="104">
        <v>5</v>
      </c>
      <c r="D41" s="91"/>
      <c r="E41" s="91"/>
      <c r="F41" s="91"/>
      <c r="G41" s="91"/>
      <c r="H41" s="91"/>
      <c r="I41" s="92" t="s">
        <v>738</v>
      </c>
    </row>
  </sheetData>
  <sheetProtection/>
  <mergeCells count="9">
    <mergeCell ref="A1:I1"/>
    <mergeCell ref="A4:A5"/>
    <mergeCell ref="B4:B5"/>
    <mergeCell ref="C4:C5"/>
    <mergeCell ref="D4:G4"/>
    <mergeCell ref="H4:H5"/>
    <mergeCell ref="G3:I3"/>
    <mergeCell ref="I4:I5"/>
    <mergeCell ref="A2:I2"/>
  </mergeCells>
  <printOptions horizontalCentered="1"/>
  <pageMargins left="0.354330708661417" right="0" top="0.354330708661417" bottom="0"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E23"/>
  <sheetViews>
    <sheetView zoomScalePageLayoutView="0" workbookViewId="0" topLeftCell="A1">
      <selection activeCell="A2" sqref="A2:E2"/>
    </sheetView>
  </sheetViews>
  <sheetFormatPr defaultColWidth="9.140625" defaultRowHeight="12.75"/>
  <cols>
    <col min="1" max="1" width="4.57421875" style="19" customWidth="1"/>
    <col min="2" max="2" width="47.140625" style="9" customWidth="1"/>
    <col min="3" max="3" width="14.140625" style="51" customWidth="1"/>
    <col min="4" max="4" width="11.8515625" style="51" customWidth="1"/>
    <col min="5" max="5" width="67.140625" style="9" customWidth="1"/>
    <col min="6" max="16384" width="9.140625" style="9" customWidth="1"/>
  </cols>
  <sheetData>
    <row r="1" spans="1:5" ht="38.25" customHeight="1">
      <c r="A1" s="220" t="s">
        <v>481</v>
      </c>
      <c r="B1" s="220"/>
      <c r="C1" s="220"/>
      <c r="D1" s="220"/>
      <c r="E1" s="220"/>
    </row>
    <row r="2" spans="1:5" ht="18.75">
      <c r="A2" s="226" t="s">
        <v>761</v>
      </c>
      <c r="B2" s="226"/>
      <c r="C2" s="226"/>
      <c r="D2" s="226"/>
      <c r="E2" s="226"/>
    </row>
    <row r="3" spans="1:4" ht="16.5">
      <c r="A3" s="49"/>
      <c r="B3" s="49"/>
      <c r="C3" s="49"/>
      <c r="D3" s="49"/>
    </row>
    <row r="4" spans="1:5" ht="33" customHeight="1">
      <c r="A4" s="14" t="s">
        <v>11</v>
      </c>
      <c r="B4" s="8" t="s">
        <v>127</v>
      </c>
      <c r="C4" s="8" t="s">
        <v>0</v>
      </c>
      <c r="D4" s="8" t="s">
        <v>1</v>
      </c>
      <c r="E4" s="8" t="s">
        <v>125</v>
      </c>
    </row>
    <row r="5" spans="1:5" ht="16.5">
      <c r="A5" s="69">
        <v>1</v>
      </c>
      <c r="B5" s="79" t="s">
        <v>36</v>
      </c>
      <c r="C5" s="80" t="s">
        <v>37</v>
      </c>
      <c r="D5" s="106">
        <f>D6+D7</f>
        <v>13</v>
      </c>
      <c r="E5" s="69"/>
    </row>
    <row r="6" spans="1:5" ht="33">
      <c r="A6" s="69"/>
      <c r="B6" s="79" t="s">
        <v>175</v>
      </c>
      <c r="C6" s="80" t="s">
        <v>177</v>
      </c>
      <c r="D6" s="80">
        <v>13</v>
      </c>
      <c r="E6" s="70" t="s">
        <v>695</v>
      </c>
    </row>
    <row r="7" spans="1:5" ht="16.5">
      <c r="A7" s="69"/>
      <c r="B7" s="79" t="s">
        <v>176</v>
      </c>
      <c r="C7" s="80" t="s">
        <v>696</v>
      </c>
      <c r="D7" s="80">
        <v>0</v>
      </c>
      <c r="E7" s="70"/>
    </row>
    <row r="8" spans="1:5" ht="21.75" customHeight="1">
      <c r="A8" s="69">
        <v>2</v>
      </c>
      <c r="B8" s="79" t="s">
        <v>39</v>
      </c>
      <c r="C8" s="80" t="s">
        <v>37</v>
      </c>
      <c r="D8" s="80">
        <f>D9+D10</f>
        <v>12</v>
      </c>
      <c r="E8" s="79"/>
    </row>
    <row r="9" spans="1:5" ht="33">
      <c r="A9" s="69"/>
      <c r="B9" s="79" t="s">
        <v>175</v>
      </c>
      <c r="C9" s="80" t="s">
        <v>177</v>
      </c>
      <c r="D9" s="106">
        <v>12</v>
      </c>
      <c r="E9" s="70" t="s">
        <v>698</v>
      </c>
    </row>
    <row r="10" spans="1:5" ht="16.5">
      <c r="A10" s="69"/>
      <c r="B10" s="79" t="s">
        <v>176</v>
      </c>
      <c r="C10" s="80" t="s">
        <v>696</v>
      </c>
      <c r="D10" s="80">
        <v>0</v>
      </c>
      <c r="E10" s="70"/>
    </row>
    <row r="11" spans="1:5" ht="21.75" customHeight="1">
      <c r="A11" s="69">
        <v>3</v>
      </c>
      <c r="B11" s="79" t="s">
        <v>40</v>
      </c>
      <c r="C11" s="80" t="s">
        <v>37</v>
      </c>
      <c r="D11" s="80">
        <v>3</v>
      </c>
      <c r="E11" s="79" t="s">
        <v>697</v>
      </c>
    </row>
    <row r="12" spans="1:5" ht="21.75" customHeight="1">
      <c r="A12" s="69"/>
      <c r="B12" s="107" t="s">
        <v>38</v>
      </c>
      <c r="C12" s="80" t="s">
        <v>696</v>
      </c>
      <c r="D12" s="80">
        <v>0</v>
      </c>
      <c r="E12" s="79"/>
    </row>
    <row r="13" spans="1:5" ht="21.75" customHeight="1">
      <c r="A13" s="69">
        <v>4</v>
      </c>
      <c r="B13" s="79" t="s">
        <v>41</v>
      </c>
      <c r="C13" s="80"/>
      <c r="D13" s="80"/>
      <c r="E13" s="79"/>
    </row>
    <row r="14" spans="1:5" ht="33">
      <c r="A14" s="69"/>
      <c r="B14" s="79" t="s">
        <v>42</v>
      </c>
      <c r="C14" s="80" t="s">
        <v>43</v>
      </c>
      <c r="D14" s="80">
        <f>40+60+40+340+200</f>
        <v>680</v>
      </c>
      <c r="E14" s="70" t="s">
        <v>699</v>
      </c>
    </row>
    <row r="15" spans="1:5" ht="21.75" customHeight="1">
      <c r="A15" s="69"/>
      <c r="B15" s="79" t="s">
        <v>44</v>
      </c>
      <c r="C15" s="80" t="s">
        <v>43</v>
      </c>
      <c r="D15" s="80"/>
      <c r="E15" s="79"/>
    </row>
    <row r="16" spans="1:5" s="15" customFormat="1" ht="21.75" customHeight="1">
      <c r="A16" s="69"/>
      <c r="B16" s="79" t="s">
        <v>45</v>
      </c>
      <c r="C16" s="80" t="s">
        <v>43</v>
      </c>
      <c r="D16" s="80"/>
      <c r="E16" s="79"/>
    </row>
    <row r="17" spans="1:5" s="15" customFormat="1" ht="33">
      <c r="A17" s="69"/>
      <c r="B17" s="79" t="s">
        <v>46</v>
      </c>
      <c r="C17" s="80" t="s">
        <v>43</v>
      </c>
      <c r="D17" s="80">
        <f>D14</f>
        <v>680</v>
      </c>
      <c r="E17" s="70" t="s">
        <v>699</v>
      </c>
    </row>
    <row r="18" spans="1:5" s="15" customFormat="1" ht="33">
      <c r="A18" s="69">
        <v>5</v>
      </c>
      <c r="B18" s="70" t="s">
        <v>47</v>
      </c>
      <c r="C18" s="80"/>
      <c r="D18" s="80"/>
      <c r="E18" s="79"/>
    </row>
    <row r="19" spans="1:5" s="15" customFormat="1" ht="33">
      <c r="A19" s="69"/>
      <c r="B19" s="79" t="s">
        <v>42</v>
      </c>
      <c r="C19" s="80" t="s">
        <v>43</v>
      </c>
      <c r="D19" s="80">
        <f>40+60+40+200+150</f>
        <v>490</v>
      </c>
      <c r="E19" s="70" t="s">
        <v>700</v>
      </c>
    </row>
    <row r="20" spans="1:5" s="15" customFormat="1" ht="21.75" customHeight="1">
      <c r="A20" s="69"/>
      <c r="B20" s="79" t="s">
        <v>44</v>
      </c>
      <c r="C20" s="80" t="s">
        <v>43</v>
      </c>
      <c r="D20" s="80"/>
      <c r="E20" s="70"/>
    </row>
    <row r="21" spans="1:5" s="15" customFormat="1" ht="21.75" customHeight="1">
      <c r="A21" s="69"/>
      <c r="B21" s="79" t="s">
        <v>45</v>
      </c>
      <c r="C21" s="80" t="s">
        <v>43</v>
      </c>
      <c r="D21" s="80"/>
      <c r="E21" s="79"/>
    </row>
    <row r="22" spans="1:5" s="15" customFormat="1" ht="33">
      <c r="A22" s="69"/>
      <c r="B22" s="79" t="s">
        <v>46</v>
      </c>
      <c r="C22" s="80" t="s">
        <v>43</v>
      </c>
      <c r="D22" s="80">
        <f>40+60+40+280+190</f>
        <v>610</v>
      </c>
      <c r="E22" s="70" t="s">
        <v>701</v>
      </c>
    </row>
    <row r="23" spans="1:2" ht="16.5">
      <c r="A23" s="50"/>
      <c r="B23" s="51"/>
    </row>
  </sheetData>
  <sheetProtection/>
  <mergeCells count="2">
    <mergeCell ref="A1:E1"/>
    <mergeCell ref="A2:E2"/>
  </mergeCells>
  <printOptions horizontalCentered="1"/>
  <pageMargins left="0" right="0" top="0.15748031496063" bottom="0" header="0.236220472440945" footer="0.2362204724409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K14"/>
  <sheetViews>
    <sheetView zoomScalePageLayoutView="0" workbookViewId="0" topLeftCell="A9">
      <selection activeCell="A2" sqref="A2:K2"/>
    </sheetView>
  </sheetViews>
  <sheetFormatPr defaultColWidth="9.140625" defaultRowHeight="12.75"/>
  <cols>
    <col min="1" max="1" width="5.421875" style="2" customWidth="1"/>
    <col min="2" max="2" width="16.00390625" style="5" customWidth="1"/>
    <col min="3" max="3" width="10.140625" style="5" customWidth="1"/>
    <col min="4" max="4" width="11.140625" style="1" customWidth="1"/>
    <col min="5" max="5" width="11.00390625" style="1" customWidth="1"/>
    <col min="6" max="6" width="8.00390625" style="1" customWidth="1"/>
    <col min="7" max="7" width="9.7109375" style="2" customWidth="1"/>
    <col min="8" max="8" width="10.57421875" style="2" customWidth="1"/>
    <col min="9" max="9" width="7.8515625" style="2" customWidth="1"/>
    <col min="10" max="10" width="27.28125" style="2" customWidth="1"/>
    <col min="11" max="11" width="28.00390625" style="5" customWidth="1"/>
    <col min="12" max="16384" width="9.140625" style="5" customWidth="1"/>
  </cols>
  <sheetData>
    <row r="1" spans="1:11" ht="20.25" customHeight="1">
      <c r="A1" s="220" t="s">
        <v>480</v>
      </c>
      <c r="B1" s="220"/>
      <c r="C1" s="220"/>
      <c r="D1" s="220"/>
      <c r="E1" s="220"/>
      <c r="F1" s="220"/>
      <c r="G1" s="220"/>
      <c r="H1" s="220"/>
      <c r="I1" s="220"/>
      <c r="J1" s="220"/>
      <c r="K1" s="220"/>
    </row>
    <row r="2" spans="1:11" ht="20.25" customHeight="1">
      <c r="A2" s="226" t="s">
        <v>761</v>
      </c>
      <c r="B2" s="226"/>
      <c r="C2" s="226"/>
      <c r="D2" s="226"/>
      <c r="E2" s="226"/>
      <c r="F2" s="226"/>
      <c r="G2" s="226"/>
      <c r="H2" s="226"/>
      <c r="I2" s="226"/>
      <c r="J2" s="226"/>
      <c r="K2" s="226"/>
    </row>
    <row r="3" spans="1:10" ht="15.75">
      <c r="A3" s="4"/>
      <c r="B3" s="4"/>
      <c r="C3" s="4"/>
      <c r="D3" s="4"/>
      <c r="E3" s="4"/>
      <c r="F3" s="4"/>
      <c r="G3" s="4"/>
      <c r="H3" s="4"/>
      <c r="I3" s="4"/>
      <c r="J3" s="4"/>
    </row>
    <row r="4" spans="1:11" ht="24" customHeight="1">
      <c r="A4" s="227" t="s">
        <v>11</v>
      </c>
      <c r="B4" s="227" t="s">
        <v>773</v>
      </c>
      <c r="C4" s="227" t="s">
        <v>770</v>
      </c>
      <c r="D4" s="227" t="s">
        <v>48</v>
      </c>
      <c r="E4" s="227"/>
      <c r="F4" s="227"/>
      <c r="G4" s="227"/>
      <c r="H4" s="227"/>
      <c r="I4" s="227"/>
      <c r="J4" s="227" t="s">
        <v>125</v>
      </c>
      <c r="K4" s="227"/>
    </row>
    <row r="5" spans="1:11" ht="31.5" customHeight="1">
      <c r="A5" s="227"/>
      <c r="B5" s="227"/>
      <c r="C5" s="227"/>
      <c r="D5" s="227" t="s">
        <v>771</v>
      </c>
      <c r="E5" s="227"/>
      <c r="F5" s="227"/>
      <c r="G5" s="227" t="s">
        <v>772</v>
      </c>
      <c r="H5" s="227"/>
      <c r="I5" s="227"/>
      <c r="J5" s="227"/>
      <c r="K5" s="227"/>
    </row>
    <row r="6" spans="1:11" ht="55.5" customHeight="1">
      <c r="A6" s="227"/>
      <c r="B6" s="227"/>
      <c r="C6" s="227"/>
      <c r="D6" s="23" t="s">
        <v>49</v>
      </c>
      <c r="E6" s="23" t="s">
        <v>50</v>
      </c>
      <c r="F6" s="23" t="s">
        <v>51</v>
      </c>
      <c r="G6" s="23" t="s">
        <v>52</v>
      </c>
      <c r="H6" s="23" t="s">
        <v>53</v>
      </c>
      <c r="I6" s="23" t="s">
        <v>51</v>
      </c>
      <c r="J6" s="23" t="s">
        <v>339</v>
      </c>
      <c r="K6" s="23" t="s">
        <v>340</v>
      </c>
    </row>
    <row r="7" spans="1:11" ht="124.5" customHeight="1">
      <c r="A7" s="108">
        <v>1</v>
      </c>
      <c r="B7" s="109" t="s">
        <v>54</v>
      </c>
      <c r="C7" s="110">
        <f>537+487+652+677+335+315+339+240+158</f>
        <v>3740</v>
      </c>
      <c r="D7" s="111">
        <f aca="true" t="shared" si="0" ref="D7:D12">C7</f>
        <v>3740</v>
      </c>
      <c r="E7" s="111">
        <f>507+448+614+619+278+267+284+216+143</f>
        <v>3376</v>
      </c>
      <c r="F7" s="111">
        <f aca="true" t="shared" si="1" ref="F7:F12">E7/C7*100</f>
        <v>90.26737967914438</v>
      </c>
      <c r="G7" s="111">
        <f>D7</f>
        <v>3740</v>
      </c>
      <c r="H7" s="111">
        <f>E7</f>
        <v>3376</v>
      </c>
      <c r="I7" s="111">
        <f aca="true" t="shared" si="2" ref="I7:I12">H7/C7*100</f>
        <v>90.26737967914438</v>
      </c>
      <c r="J7" s="112" t="s">
        <v>719</v>
      </c>
      <c r="K7" s="112" t="s">
        <v>719</v>
      </c>
    </row>
    <row r="8" spans="1:11" ht="128.25" customHeight="1">
      <c r="A8" s="108"/>
      <c r="B8" s="113" t="s">
        <v>55</v>
      </c>
      <c r="C8" s="110">
        <f>321.5+271.5+425+401.4+0+130+145.3+203.3+149.36</f>
        <v>2047.3600000000001</v>
      </c>
      <c r="D8" s="111">
        <f t="shared" si="0"/>
        <v>2047.3600000000001</v>
      </c>
      <c r="E8" s="111">
        <f>238+229+389+405+161+113+112+135+117</f>
        <v>1899</v>
      </c>
      <c r="F8" s="111">
        <f t="shared" si="1"/>
        <v>92.75359487339793</v>
      </c>
      <c r="G8" s="111">
        <f>C8</f>
        <v>2047.3600000000001</v>
      </c>
      <c r="H8" s="111">
        <f>238+229+389+405+161+113+112+135+117</f>
        <v>1899</v>
      </c>
      <c r="I8" s="111">
        <f>H8/C8*100</f>
        <v>92.75359487339793</v>
      </c>
      <c r="J8" s="112" t="s">
        <v>724</v>
      </c>
      <c r="K8" s="112" t="s">
        <v>724</v>
      </c>
    </row>
    <row r="9" spans="1:11" ht="99" customHeight="1">
      <c r="A9" s="108"/>
      <c r="B9" s="114" t="s">
        <v>775</v>
      </c>
      <c r="C9" s="110">
        <f>24+0+16+47+42+100+86+9+3</f>
        <v>327</v>
      </c>
      <c r="D9" s="111">
        <f t="shared" si="0"/>
        <v>327</v>
      </c>
      <c r="E9" s="111">
        <f>24+0+16+47+42+75+68+9+3</f>
        <v>284</v>
      </c>
      <c r="F9" s="111">
        <f t="shared" si="1"/>
        <v>86.85015290519877</v>
      </c>
      <c r="G9" s="111">
        <f>C9</f>
        <v>327</v>
      </c>
      <c r="H9" s="111">
        <f>24+0+16+47+42+75+68+9+3</f>
        <v>284</v>
      </c>
      <c r="I9" s="111">
        <f t="shared" si="2"/>
        <v>86.85015290519877</v>
      </c>
      <c r="J9" s="112" t="s">
        <v>720</v>
      </c>
      <c r="K9" s="112" t="s">
        <v>720</v>
      </c>
    </row>
    <row r="10" spans="1:11" ht="103.5" customHeight="1">
      <c r="A10" s="108"/>
      <c r="B10" s="114" t="s">
        <v>774</v>
      </c>
      <c r="C10" s="110">
        <f>100+30+62+91+33+20+17+23+11</f>
        <v>387</v>
      </c>
      <c r="D10" s="111">
        <f t="shared" si="0"/>
        <v>387</v>
      </c>
      <c r="E10" s="111">
        <f>80+30+62+72+33+20+17+23+11</f>
        <v>348</v>
      </c>
      <c r="F10" s="111">
        <f t="shared" si="1"/>
        <v>89.92248062015504</v>
      </c>
      <c r="G10" s="111">
        <f>D10</f>
        <v>387</v>
      </c>
      <c r="H10" s="111">
        <f>80+30+62+72+33+20+17+23+11</f>
        <v>348</v>
      </c>
      <c r="I10" s="111">
        <f t="shared" si="2"/>
        <v>89.92248062015504</v>
      </c>
      <c r="J10" s="112" t="s">
        <v>718</v>
      </c>
      <c r="K10" s="112" t="s">
        <v>723</v>
      </c>
    </row>
    <row r="11" spans="1:11" s="6" customFormat="1" ht="108.75" customHeight="1">
      <c r="A11" s="108">
        <v>2</v>
      </c>
      <c r="B11" s="109" t="s">
        <v>56</v>
      </c>
      <c r="C11" s="110">
        <f>112+34+106+86+151+217+31+52+29</f>
        <v>818</v>
      </c>
      <c r="D11" s="111">
        <f t="shared" si="0"/>
        <v>818</v>
      </c>
      <c r="E11" s="111">
        <f>34+21+38+26+67+78+15+18+19</f>
        <v>316</v>
      </c>
      <c r="F11" s="111">
        <f t="shared" si="1"/>
        <v>38.63080684596577</v>
      </c>
      <c r="G11" s="111">
        <f>C11</f>
        <v>818</v>
      </c>
      <c r="H11" s="111">
        <f>92+34+86+66+121+157+31+52+29</f>
        <v>668</v>
      </c>
      <c r="I11" s="111">
        <f t="shared" si="2"/>
        <v>81.66259168704157</v>
      </c>
      <c r="J11" s="112" t="s">
        <v>722</v>
      </c>
      <c r="K11" s="112" t="s">
        <v>725</v>
      </c>
    </row>
    <row r="12" spans="1:11" s="6" customFormat="1" ht="111.75" customHeight="1">
      <c r="A12" s="108">
        <v>3</v>
      </c>
      <c r="B12" s="115" t="s">
        <v>57</v>
      </c>
      <c r="C12" s="110">
        <f>225+527+357+130+76+0+0+7+66</f>
        <v>1388</v>
      </c>
      <c r="D12" s="111">
        <f t="shared" si="0"/>
        <v>1388</v>
      </c>
      <c r="E12" s="111">
        <f>68+369+143+33+38+0+0+7+18</f>
        <v>676</v>
      </c>
      <c r="F12" s="111">
        <f t="shared" si="1"/>
        <v>48.70317002881844</v>
      </c>
      <c r="G12" s="111">
        <f>D12</f>
        <v>1388</v>
      </c>
      <c r="H12" s="111">
        <f>205+427+253+130+76+0+0+7+66</f>
        <v>1164</v>
      </c>
      <c r="I12" s="111">
        <f t="shared" si="2"/>
        <v>83.86167146974063</v>
      </c>
      <c r="J12" s="112" t="s">
        <v>721</v>
      </c>
      <c r="K12" s="112" t="s">
        <v>726</v>
      </c>
    </row>
    <row r="13" spans="1:11" s="6" customFormat="1" ht="22.5" customHeight="1" hidden="1">
      <c r="A13" s="22" t="s">
        <v>332</v>
      </c>
      <c r="B13" s="7" t="s">
        <v>333</v>
      </c>
      <c r="C13" s="7"/>
      <c r="D13" s="7"/>
      <c r="E13" s="7"/>
      <c r="F13" s="7"/>
      <c r="G13" s="7"/>
      <c r="H13" s="7"/>
      <c r="I13" s="24"/>
      <c r="J13" s="24"/>
      <c r="K13" s="20"/>
    </row>
    <row r="14" spans="4:10" ht="15.75">
      <c r="D14" s="4"/>
      <c r="E14" s="4"/>
      <c r="F14" s="4"/>
      <c r="G14" s="1"/>
      <c r="H14" s="1"/>
      <c r="I14" s="1"/>
      <c r="J14" s="1"/>
    </row>
  </sheetData>
  <sheetProtection/>
  <mergeCells count="9">
    <mergeCell ref="A1:K1"/>
    <mergeCell ref="A4:A6"/>
    <mergeCell ref="B4:B6"/>
    <mergeCell ref="J4:K5"/>
    <mergeCell ref="D4:I4"/>
    <mergeCell ref="D5:F5"/>
    <mergeCell ref="G5:I5"/>
    <mergeCell ref="C4:C6"/>
    <mergeCell ref="A2:K2"/>
  </mergeCells>
  <printOptions horizontalCentered="1"/>
  <pageMargins left="0.354330708661417" right="0" top="0.196850393700787" bottom="0"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K221"/>
  <sheetViews>
    <sheetView zoomScalePageLayoutView="0" workbookViewId="0" topLeftCell="A1">
      <pane ySplit="5" topLeftCell="A202" activePane="bottomLeft" state="frozen"/>
      <selection pane="topLeft" activeCell="A1" sqref="A1"/>
      <selection pane="bottomLeft" activeCell="A2" sqref="A2:H2"/>
    </sheetView>
  </sheetViews>
  <sheetFormatPr defaultColWidth="9.140625" defaultRowHeight="12.75"/>
  <cols>
    <col min="1" max="1" width="4.57421875" style="19" bestFit="1" customWidth="1"/>
    <col min="2" max="2" width="70.00390625" style="19" customWidth="1"/>
    <col min="3" max="3" width="12.8515625" style="57" bestFit="1" customWidth="1"/>
    <col min="4" max="4" width="14.421875" style="57" customWidth="1"/>
    <col min="5" max="5" width="11.28125" style="57" customWidth="1"/>
    <col min="6" max="6" width="8.421875" style="57" bestFit="1" customWidth="1"/>
    <col min="7" max="7" width="10.7109375" style="57" customWidth="1"/>
    <col min="8" max="8" width="14.421875" style="19" customWidth="1"/>
    <col min="9" max="16384" width="9.140625" style="19" customWidth="1"/>
  </cols>
  <sheetData>
    <row r="1" spans="1:8" ht="34.5" customHeight="1">
      <c r="A1" s="83"/>
      <c r="B1" s="220" t="s">
        <v>482</v>
      </c>
      <c r="C1" s="220"/>
      <c r="D1" s="220"/>
      <c r="E1" s="220"/>
      <c r="F1" s="220"/>
      <c r="G1" s="220"/>
      <c r="H1" s="220"/>
    </row>
    <row r="2" spans="1:8" ht="18.75" customHeight="1">
      <c r="A2" s="226" t="s">
        <v>761</v>
      </c>
      <c r="B2" s="226"/>
      <c r="C2" s="226"/>
      <c r="D2" s="226"/>
      <c r="E2" s="226"/>
      <c r="F2" s="226"/>
      <c r="G2" s="226"/>
      <c r="H2" s="226"/>
    </row>
    <row r="3" spans="1:8" ht="17.25">
      <c r="A3" s="224" t="s">
        <v>483</v>
      </c>
      <c r="B3" s="229"/>
      <c r="C3" s="229"/>
      <c r="D3" s="229"/>
      <c r="E3" s="229"/>
      <c r="F3" s="229"/>
      <c r="G3" s="229"/>
      <c r="H3" s="229"/>
    </row>
    <row r="4" spans="1:8" ht="36" customHeight="1">
      <c r="A4" s="216" t="s">
        <v>11</v>
      </c>
      <c r="B4" s="216" t="s">
        <v>127</v>
      </c>
      <c r="C4" s="216" t="s">
        <v>776</v>
      </c>
      <c r="D4" s="216" t="s">
        <v>58</v>
      </c>
      <c r="E4" s="216" t="s">
        <v>59</v>
      </c>
      <c r="F4" s="216" t="s">
        <v>60</v>
      </c>
      <c r="G4" s="216"/>
      <c r="H4" s="216" t="s">
        <v>125</v>
      </c>
    </row>
    <row r="5" spans="1:8" ht="33">
      <c r="A5" s="216"/>
      <c r="B5" s="216"/>
      <c r="C5" s="216"/>
      <c r="D5" s="216"/>
      <c r="E5" s="216"/>
      <c r="F5" s="116" t="s">
        <v>61</v>
      </c>
      <c r="G5" s="116" t="s">
        <v>62</v>
      </c>
      <c r="H5" s="216"/>
    </row>
    <row r="6" spans="1:8" s="18" customFormat="1" ht="22.5" customHeight="1">
      <c r="A6" s="117" t="s">
        <v>356</v>
      </c>
      <c r="B6" s="228" t="s">
        <v>357</v>
      </c>
      <c r="C6" s="228"/>
      <c r="D6" s="228"/>
      <c r="E6" s="228"/>
      <c r="F6" s="228"/>
      <c r="G6" s="228"/>
      <c r="H6" s="228"/>
    </row>
    <row r="7" spans="1:8" s="18" customFormat="1" ht="22.5" customHeight="1">
      <c r="A7" s="69">
        <v>1</v>
      </c>
      <c r="B7" s="70" t="s">
        <v>343</v>
      </c>
      <c r="C7" s="118">
        <v>5.2</v>
      </c>
      <c r="D7" s="118">
        <v>5.2</v>
      </c>
      <c r="E7" s="118">
        <v>5.2</v>
      </c>
      <c r="F7" s="119"/>
      <c r="G7" s="118">
        <f>E7-F7</f>
        <v>5.2</v>
      </c>
      <c r="H7" s="69"/>
    </row>
    <row r="8" spans="1:8" s="18" customFormat="1" ht="22.5" customHeight="1">
      <c r="A8" s="69">
        <v>2</v>
      </c>
      <c r="B8" s="70" t="s">
        <v>344</v>
      </c>
      <c r="C8" s="118">
        <v>5.4</v>
      </c>
      <c r="D8" s="118">
        <v>5.4</v>
      </c>
      <c r="E8" s="118">
        <v>4.4</v>
      </c>
      <c r="F8" s="119"/>
      <c r="G8" s="118">
        <f aca="true" t="shared" si="0" ref="G8:G20">E8-F8</f>
        <v>4.4</v>
      </c>
      <c r="H8" s="69"/>
    </row>
    <row r="9" spans="1:8" s="18" customFormat="1" ht="22.5" customHeight="1">
      <c r="A9" s="69">
        <v>3</v>
      </c>
      <c r="B9" s="70" t="s">
        <v>345</v>
      </c>
      <c r="C9" s="118">
        <v>5.6</v>
      </c>
      <c r="D9" s="118">
        <v>5.6</v>
      </c>
      <c r="E9" s="118">
        <v>4.55</v>
      </c>
      <c r="F9" s="119"/>
      <c r="G9" s="118">
        <f t="shared" si="0"/>
        <v>4.55</v>
      </c>
      <c r="H9" s="69"/>
    </row>
    <row r="10" spans="1:8" s="18" customFormat="1" ht="22.5" customHeight="1">
      <c r="A10" s="69">
        <v>4</v>
      </c>
      <c r="B10" s="70" t="s">
        <v>346</v>
      </c>
      <c r="C10" s="118">
        <v>5.1</v>
      </c>
      <c r="D10" s="118">
        <v>5.1</v>
      </c>
      <c r="E10" s="118">
        <v>4.1</v>
      </c>
      <c r="F10" s="119"/>
      <c r="G10" s="118">
        <f t="shared" si="0"/>
        <v>4.1</v>
      </c>
      <c r="H10" s="69"/>
    </row>
    <row r="11" spans="1:8" s="18" customFormat="1" ht="22.5" customHeight="1">
      <c r="A11" s="69">
        <v>5</v>
      </c>
      <c r="B11" s="70" t="s">
        <v>347</v>
      </c>
      <c r="C11" s="118">
        <v>3.8</v>
      </c>
      <c r="D11" s="118">
        <v>3.8</v>
      </c>
      <c r="E11" s="118">
        <v>3.2</v>
      </c>
      <c r="F11" s="119"/>
      <c r="G11" s="118">
        <f t="shared" si="0"/>
        <v>3.2</v>
      </c>
      <c r="H11" s="69"/>
    </row>
    <row r="12" spans="1:8" s="18" customFormat="1" ht="22.5" customHeight="1">
      <c r="A12" s="69">
        <v>6</v>
      </c>
      <c r="B12" s="70" t="s">
        <v>348</v>
      </c>
      <c r="C12" s="118">
        <v>4.43</v>
      </c>
      <c r="D12" s="118">
        <v>4.43</v>
      </c>
      <c r="E12" s="118">
        <v>3.4</v>
      </c>
      <c r="F12" s="119"/>
      <c r="G12" s="118">
        <f t="shared" si="0"/>
        <v>3.4</v>
      </c>
      <c r="H12" s="69"/>
    </row>
    <row r="13" spans="1:8" s="18" customFormat="1" ht="22.5" customHeight="1">
      <c r="A13" s="69">
        <v>7</v>
      </c>
      <c r="B13" s="70" t="s">
        <v>349</v>
      </c>
      <c r="C13" s="118">
        <v>2.65</v>
      </c>
      <c r="D13" s="118">
        <v>2.65</v>
      </c>
      <c r="E13" s="118">
        <v>1.7</v>
      </c>
      <c r="F13" s="119"/>
      <c r="G13" s="118">
        <f t="shared" si="0"/>
        <v>1.7</v>
      </c>
      <c r="H13" s="69"/>
    </row>
    <row r="14" spans="1:8" s="18" customFormat="1" ht="22.5" customHeight="1">
      <c r="A14" s="69">
        <v>8</v>
      </c>
      <c r="B14" s="70" t="s">
        <v>350</v>
      </c>
      <c r="C14" s="118">
        <v>0</v>
      </c>
      <c r="D14" s="118">
        <v>0</v>
      </c>
      <c r="E14" s="118">
        <v>0</v>
      </c>
      <c r="F14" s="119"/>
      <c r="G14" s="118">
        <f t="shared" si="0"/>
        <v>0</v>
      </c>
      <c r="H14" s="69"/>
    </row>
    <row r="15" spans="1:8" s="18" customFormat="1" ht="22.5" customHeight="1">
      <c r="A15" s="69">
        <v>9</v>
      </c>
      <c r="B15" s="70" t="s">
        <v>351</v>
      </c>
      <c r="C15" s="118">
        <v>0.1</v>
      </c>
      <c r="D15" s="118">
        <v>0.1</v>
      </c>
      <c r="E15" s="118">
        <v>0.1</v>
      </c>
      <c r="F15" s="119"/>
      <c r="G15" s="118">
        <f t="shared" si="0"/>
        <v>0.1</v>
      </c>
      <c r="H15" s="69"/>
    </row>
    <row r="16" spans="1:8" s="18" customFormat="1" ht="22.5" customHeight="1">
      <c r="A16" s="69">
        <v>10</v>
      </c>
      <c r="B16" s="70" t="s">
        <v>352</v>
      </c>
      <c r="C16" s="118">
        <v>2.43</v>
      </c>
      <c r="D16" s="118">
        <v>2.43</v>
      </c>
      <c r="E16" s="118">
        <v>1.4</v>
      </c>
      <c r="F16" s="119"/>
      <c r="G16" s="118">
        <f t="shared" si="0"/>
        <v>1.4</v>
      </c>
      <c r="H16" s="69"/>
    </row>
    <row r="17" spans="1:8" s="18" customFormat="1" ht="22.5" customHeight="1">
      <c r="A17" s="69">
        <v>11</v>
      </c>
      <c r="B17" s="70" t="s">
        <v>353</v>
      </c>
      <c r="C17" s="118">
        <v>2.44</v>
      </c>
      <c r="D17" s="118">
        <v>2.44</v>
      </c>
      <c r="E17" s="118">
        <v>1.74</v>
      </c>
      <c r="F17" s="119"/>
      <c r="G17" s="118">
        <f t="shared" si="0"/>
        <v>1.74</v>
      </c>
      <c r="H17" s="69"/>
    </row>
    <row r="18" spans="1:8" s="18" customFormat="1" ht="22.5" customHeight="1">
      <c r="A18" s="69">
        <v>12</v>
      </c>
      <c r="B18" s="70" t="s">
        <v>354</v>
      </c>
      <c r="C18" s="118">
        <v>4.2</v>
      </c>
      <c r="D18" s="118">
        <v>4.2</v>
      </c>
      <c r="E18" s="118">
        <v>3.02</v>
      </c>
      <c r="F18" s="119"/>
      <c r="G18" s="118">
        <f t="shared" si="0"/>
        <v>3.02</v>
      </c>
      <c r="H18" s="69"/>
    </row>
    <row r="19" spans="1:8" s="18" customFormat="1" ht="22.5" customHeight="1">
      <c r="A19" s="69">
        <v>13</v>
      </c>
      <c r="B19" s="70" t="s">
        <v>355</v>
      </c>
      <c r="C19" s="118">
        <v>2.35</v>
      </c>
      <c r="D19" s="118">
        <v>2.35</v>
      </c>
      <c r="E19" s="118">
        <v>2.4</v>
      </c>
      <c r="F19" s="119"/>
      <c r="G19" s="118">
        <f t="shared" si="0"/>
        <v>2.4</v>
      </c>
      <c r="H19" s="69"/>
    </row>
    <row r="20" spans="1:8" s="18" customFormat="1" ht="22.5" customHeight="1">
      <c r="A20" s="216" t="s">
        <v>330</v>
      </c>
      <c r="B20" s="216"/>
      <c r="C20" s="119">
        <f>SUM(C7:C19)</f>
        <v>43.70000000000001</v>
      </c>
      <c r="D20" s="119">
        <f>SUM(D7:D19)</f>
        <v>43.70000000000001</v>
      </c>
      <c r="E20" s="119">
        <f>SUM(E7:E19)</f>
        <v>35.209999999999994</v>
      </c>
      <c r="F20" s="119"/>
      <c r="G20" s="119">
        <f t="shared" si="0"/>
        <v>35.209999999999994</v>
      </c>
      <c r="H20" s="8"/>
    </row>
    <row r="21" spans="1:8" s="18" customFormat="1" ht="22.5" customHeight="1">
      <c r="A21" s="216" t="s">
        <v>365</v>
      </c>
      <c r="B21" s="216"/>
      <c r="C21" s="119"/>
      <c r="D21" s="119"/>
      <c r="E21" s="119">
        <f>E20/C20*100</f>
        <v>80.57208237986266</v>
      </c>
      <c r="F21" s="119"/>
      <c r="G21" s="119"/>
      <c r="H21" s="8"/>
    </row>
    <row r="22" spans="1:8" s="18" customFormat="1" ht="22.5" customHeight="1">
      <c r="A22" s="117" t="s">
        <v>342</v>
      </c>
      <c r="B22" s="228" t="s">
        <v>341</v>
      </c>
      <c r="C22" s="228"/>
      <c r="D22" s="228"/>
      <c r="E22" s="228"/>
      <c r="F22" s="228"/>
      <c r="G22" s="228"/>
      <c r="H22" s="228"/>
    </row>
    <row r="23" spans="1:8" ht="32.25" customHeight="1">
      <c r="A23" s="69">
        <v>1</v>
      </c>
      <c r="B23" s="71" t="s">
        <v>601</v>
      </c>
      <c r="C23" s="118">
        <v>1.7</v>
      </c>
      <c r="D23" s="118">
        <v>1.7</v>
      </c>
      <c r="E23" s="118">
        <v>1.7</v>
      </c>
      <c r="F23" s="118">
        <v>1.7</v>
      </c>
      <c r="G23" s="118"/>
      <c r="H23" s="120"/>
    </row>
    <row r="24" spans="1:8" ht="16.5">
      <c r="A24" s="69">
        <v>2</v>
      </c>
      <c r="B24" s="71" t="s">
        <v>602</v>
      </c>
      <c r="C24" s="118">
        <v>1.8</v>
      </c>
      <c r="D24" s="118">
        <v>1.8</v>
      </c>
      <c r="E24" s="118">
        <v>1.8</v>
      </c>
      <c r="F24" s="118">
        <v>1.8</v>
      </c>
      <c r="G24" s="118"/>
      <c r="H24" s="120"/>
    </row>
    <row r="25" spans="1:8" ht="20.25" customHeight="1">
      <c r="A25" s="69">
        <v>3</v>
      </c>
      <c r="B25" s="71" t="s">
        <v>273</v>
      </c>
      <c r="C25" s="118">
        <v>1.8</v>
      </c>
      <c r="D25" s="118">
        <v>1.8</v>
      </c>
      <c r="E25" s="118">
        <v>1.8</v>
      </c>
      <c r="F25" s="118">
        <v>1.8</v>
      </c>
      <c r="G25" s="119"/>
      <c r="H25" s="120"/>
    </row>
    <row r="26" spans="1:8" ht="20.25" customHeight="1">
      <c r="A26" s="69">
        <v>4</v>
      </c>
      <c r="B26" s="71" t="s">
        <v>274</v>
      </c>
      <c r="C26" s="118">
        <v>0.9</v>
      </c>
      <c r="D26" s="118">
        <v>0.9</v>
      </c>
      <c r="E26" s="118">
        <v>0.9</v>
      </c>
      <c r="F26" s="119"/>
      <c r="G26" s="118">
        <f>E26</f>
        <v>0.9</v>
      </c>
      <c r="H26" s="120"/>
    </row>
    <row r="27" spans="1:8" ht="20.25" customHeight="1">
      <c r="A27" s="69">
        <v>5</v>
      </c>
      <c r="B27" s="71" t="s">
        <v>275</v>
      </c>
      <c r="C27" s="118">
        <v>0.6</v>
      </c>
      <c r="D27" s="118">
        <v>0.6</v>
      </c>
      <c r="E27" s="118">
        <v>0.6</v>
      </c>
      <c r="F27" s="118"/>
      <c r="G27" s="118">
        <f aca="true" t="shared" si="1" ref="G27:G41">E27</f>
        <v>0.6</v>
      </c>
      <c r="H27" s="120"/>
    </row>
    <row r="28" spans="1:8" ht="20.25" customHeight="1">
      <c r="A28" s="69">
        <v>6</v>
      </c>
      <c r="B28" s="71" t="s">
        <v>276</v>
      </c>
      <c r="C28" s="118">
        <v>0.4</v>
      </c>
      <c r="D28" s="118">
        <v>0.4</v>
      </c>
      <c r="E28" s="118">
        <v>0.4</v>
      </c>
      <c r="F28" s="118"/>
      <c r="G28" s="118">
        <f t="shared" si="1"/>
        <v>0.4</v>
      </c>
      <c r="H28" s="120"/>
    </row>
    <row r="29" spans="1:8" ht="20.25" customHeight="1">
      <c r="A29" s="69">
        <v>7</v>
      </c>
      <c r="B29" s="71" t="s">
        <v>277</v>
      </c>
      <c r="C29" s="118">
        <v>2</v>
      </c>
      <c r="D29" s="118">
        <v>2</v>
      </c>
      <c r="E29" s="118">
        <v>2</v>
      </c>
      <c r="F29" s="118"/>
      <c r="G29" s="118">
        <f t="shared" si="1"/>
        <v>2</v>
      </c>
      <c r="H29" s="120"/>
    </row>
    <row r="30" spans="1:8" ht="20.25" customHeight="1">
      <c r="A30" s="69">
        <v>8</v>
      </c>
      <c r="B30" s="71" t="s">
        <v>278</v>
      </c>
      <c r="C30" s="118">
        <v>1.2</v>
      </c>
      <c r="D30" s="118">
        <v>1.2</v>
      </c>
      <c r="E30" s="118">
        <v>1.2</v>
      </c>
      <c r="F30" s="118"/>
      <c r="G30" s="118">
        <f t="shared" si="1"/>
        <v>1.2</v>
      </c>
      <c r="H30" s="120"/>
    </row>
    <row r="31" spans="1:8" ht="20.25" customHeight="1">
      <c r="A31" s="69">
        <v>9</v>
      </c>
      <c r="B31" s="71" t="s">
        <v>279</v>
      </c>
      <c r="C31" s="118">
        <v>0.1</v>
      </c>
      <c r="D31" s="118">
        <v>0.1</v>
      </c>
      <c r="E31" s="118">
        <v>0.1</v>
      </c>
      <c r="F31" s="118"/>
      <c r="G31" s="118">
        <f t="shared" si="1"/>
        <v>0.1</v>
      </c>
      <c r="H31" s="120"/>
    </row>
    <row r="32" spans="1:8" ht="20.25" customHeight="1">
      <c r="A32" s="69">
        <v>10</v>
      </c>
      <c r="B32" s="71" t="s">
        <v>280</v>
      </c>
      <c r="C32" s="118">
        <v>1</v>
      </c>
      <c r="D32" s="118">
        <v>1</v>
      </c>
      <c r="E32" s="118">
        <v>1</v>
      </c>
      <c r="F32" s="118"/>
      <c r="G32" s="118">
        <f t="shared" si="1"/>
        <v>1</v>
      </c>
      <c r="H32" s="120"/>
    </row>
    <row r="33" spans="1:8" ht="20.25" customHeight="1">
      <c r="A33" s="69">
        <v>11</v>
      </c>
      <c r="B33" s="71" t="s">
        <v>281</v>
      </c>
      <c r="C33" s="118">
        <v>0.5</v>
      </c>
      <c r="D33" s="118">
        <v>0.5</v>
      </c>
      <c r="E33" s="118">
        <v>0.5</v>
      </c>
      <c r="F33" s="118"/>
      <c r="G33" s="118">
        <f t="shared" si="1"/>
        <v>0.5</v>
      </c>
      <c r="H33" s="120"/>
    </row>
    <row r="34" spans="1:8" ht="20.25" customHeight="1">
      <c r="A34" s="69">
        <v>12</v>
      </c>
      <c r="B34" s="71" t="s">
        <v>282</v>
      </c>
      <c r="C34" s="118">
        <v>0.7</v>
      </c>
      <c r="D34" s="118">
        <v>0.7</v>
      </c>
      <c r="E34" s="118">
        <v>0.7</v>
      </c>
      <c r="F34" s="118"/>
      <c r="G34" s="118">
        <f t="shared" si="1"/>
        <v>0.7</v>
      </c>
      <c r="H34" s="120"/>
    </row>
    <row r="35" spans="1:8" ht="20.25" customHeight="1">
      <c r="A35" s="69">
        <v>13</v>
      </c>
      <c r="B35" s="71" t="s">
        <v>283</v>
      </c>
      <c r="C35" s="118">
        <v>0.8</v>
      </c>
      <c r="D35" s="118">
        <v>0.8</v>
      </c>
      <c r="E35" s="118">
        <v>0.8</v>
      </c>
      <c r="F35" s="118"/>
      <c r="G35" s="118">
        <f t="shared" si="1"/>
        <v>0.8</v>
      </c>
      <c r="H35" s="120"/>
    </row>
    <row r="36" spans="1:8" ht="20.25" customHeight="1">
      <c r="A36" s="69">
        <v>14</v>
      </c>
      <c r="B36" s="71" t="s">
        <v>284</v>
      </c>
      <c r="C36" s="118">
        <v>0.8</v>
      </c>
      <c r="D36" s="118">
        <v>0.8</v>
      </c>
      <c r="E36" s="118">
        <v>0.8</v>
      </c>
      <c r="F36" s="118"/>
      <c r="G36" s="118">
        <f t="shared" si="1"/>
        <v>0.8</v>
      </c>
      <c r="H36" s="120"/>
    </row>
    <row r="37" spans="1:8" ht="20.25" customHeight="1">
      <c r="A37" s="69">
        <v>15</v>
      </c>
      <c r="B37" s="71" t="s">
        <v>285</v>
      </c>
      <c r="C37" s="118">
        <v>0.6</v>
      </c>
      <c r="D37" s="118">
        <v>0.6</v>
      </c>
      <c r="E37" s="118">
        <v>0.6</v>
      </c>
      <c r="F37" s="118"/>
      <c r="G37" s="118">
        <f t="shared" si="1"/>
        <v>0.6</v>
      </c>
      <c r="H37" s="120"/>
    </row>
    <row r="38" spans="1:8" ht="20.25" customHeight="1">
      <c r="A38" s="69">
        <v>16</v>
      </c>
      <c r="B38" s="71" t="s">
        <v>286</v>
      </c>
      <c r="C38" s="118">
        <v>0.5</v>
      </c>
      <c r="D38" s="118">
        <v>0.5</v>
      </c>
      <c r="E38" s="118">
        <v>0.5</v>
      </c>
      <c r="F38" s="118"/>
      <c r="G38" s="118">
        <f t="shared" si="1"/>
        <v>0.5</v>
      </c>
      <c r="H38" s="120"/>
    </row>
    <row r="39" spans="1:8" ht="20.25" customHeight="1">
      <c r="A39" s="69">
        <v>17</v>
      </c>
      <c r="B39" s="71" t="s">
        <v>287</v>
      </c>
      <c r="C39" s="118">
        <v>0.7</v>
      </c>
      <c r="D39" s="118">
        <v>0.7</v>
      </c>
      <c r="E39" s="118">
        <v>0.7</v>
      </c>
      <c r="F39" s="118"/>
      <c r="G39" s="118">
        <f t="shared" si="1"/>
        <v>0.7</v>
      </c>
      <c r="H39" s="120"/>
    </row>
    <row r="40" spans="1:8" ht="20.25" customHeight="1">
      <c r="A40" s="69">
        <v>18</v>
      </c>
      <c r="B40" s="71" t="s">
        <v>288</v>
      </c>
      <c r="C40" s="118">
        <v>0.6</v>
      </c>
      <c r="D40" s="118">
        <v>0.6</v>
      </c>
      <c r="E40" s="118">
        <v>0.6</v>
      </c>
      <c r="F40" s="118"/>
      <c r="G40" s="118">
        <f t="shared" si="1"/>
        <v>0.6</v>
      </c>
      <c r="H40" s="120"/>
    </row>
    <row r="41" spans="1:8" ht="20.25" customHeight="1">
      <c r="A41" s="69">
        <v>19</v>
      </c>
      <c r="B41" s="71" t="s">
        <v>289</v>
      </c>
      <c r="C41" s="118">
        <v>0.9</v>
      </c>
      <c r="D41" s="118">
        <v>0.9</v>
      </c>
      <c r="E41" s="118">
        <v>0.9</v>
      </c>
      <c r="F41" s="118"/>
      <c r="G41" s="118">
        <f t="shared" si="1"/>
        <v>0.9</v>
      </c>
      <c r="H41" s="120"/>
    </row>
    <row r="42" spans="1:8" s="18" customFormat="1" ht="23.25" customHeight="1">
      <c r="A42" s="69">
        <v>20</v>
      </c>
      <c r="B42" s="71" t="s">
        <v>290</v>
      </c>
      <c r="C42" s="118">
        <v>1.7</v>
      </c>
      <c r="D42" s="118">
        <v>1.7</v>
      </c>
      <c r="E42" s="118">
        <v>0.7</v>
      </c>
      <c r="F42" s="118"/>
      <c r="G42" s="118">
        <f>E42</f>
        <v>0.7</v>
      </c>
      <c r="H42" s="120"/>
    </row>
    <row r="43" spans="1:8" s="18" customFormat="1" ht="23.25" customHeight="1">
      <c r="A43" s="69">
        <v>21</v>
      </c>
      <c r="B43" s="71" t="s">
        <v>715</v>
      </c>
      <c r="C43" s="118">
        <v>0.74</v>
      </c>
      <c r="D43" s="118">
        <v>0.74</v>
      </c>
      <c r="E43" s="119"/>
      <c r="F43" s="119"/>
      <c r="G43" s="119"/>
      <c r="H43" s="121"/>
    </row>
    <row r="44" spans="1:8" s="18" customFormat="1" ht="23.25" customHeight="1">
      <c r="A44" s="69">
        <v>22</v>
      </c>
      <c r="B44" s="71" t="s">
        <v>326</v>
      </c>
      <c r="C44" s="118">
        <v>1.7</v>
      </c>
      <c r="D44" s="118">
        <v>1.7</v>
      </c>
      <c r="E44" s="118">
        <v>0.7</v>
      </c>
      <c r="F44" s="119"/>
      <c r="G44" s="119">
        <f>E44</f>
        <v>0.7</v>
      </c>
      <c r="H44" s="121"/>
    </row>
    <row r="45" spans="1:8" s="18" customFormat="1" ht="23.25" customHeight="1">
      <c r="A45" s="69">
        <v>23</v>
      </c>
      <c r="B45" s="71" t="s">
        <v>327</v>
      </c>
      <c r="C45" s="118">
        <v>0.5</v>
      </c>
      <c r="D45" s="118">
        <v>0.5</v>
      </c>
      <c r="E45" s="119"/>
      <c r="F45" s="119"/>
      <c r="G45" s="119"/>
      <c r="H45" s="121"/>
    </row>
    <row r="46" spans="1:8" s="18" customFormat="1" ht="23.25" customHeight="1">
      <c r="A46" s="69">
        <v>24</v>
      </c>
      <c r="B46" s="71" t="s">
        <v>326</v>
      </c>
      <c r="C46" s="118">
        <v>0.37</v>
      </c>
      <c r="D46" s="118">
        <v>0.37</v>
      </c>
      <c r="E46" s="119"/>
      <c r="F46" s="119"/>
      <c r="G46" s="119"/>
      <c r="H46" s="121"/>
    </row>
    <row r="47" spans="1:8" s="18" customFormat="1" ht="23.25" customHeight="1">
      <c r="A47" s="69">
        <v>25</v>
      </c>
      <c r="B47" s="71" t="s">
        <v>328</v>
      </c>
      <c r="C47" s="118">
        <v>0.5</v>
      </c>
      <c r="D47" s="118">
        <v>0.5</v>
      </c>
      <c r="E47" s="119"/>
      <c r="F47" s="119"/>
      <c r="G47" s="119"/>
      <c r="H47" s="121"/>
    </row>
    <row r="48" spans="1:8" s="18" customFormat="1" ht="23.25" customHeight="1">
      <c r="A48" s="69">
        <v>26</v>
      </c>
      <c r="B48" s="71" t="s">
        <v>329</v>
      </c>
      <c r="C48" s="118">
        <v>0.5</v>
      </c>
      <c r="D48" s="118">
        <v>0.5</v>
      </c>
      <c r="E48" s="119"/>
      <c r="F48" s="119"/>
      <c r="G48" s="119"/>
      <c r="H48" s="121"/>
    </row>
    <row r="49" spans="1:8" s="18" customFormat="1" ht="23.25" customHeight="1">
      <c r="A49" s="216" t="s">
        <v>330</v>
      </c>
      <c r="B49" s="216"/>
      <c r="C49" s="119">
        <f>SUM(C23:C48)</f>
        <v>23.609999999999996</v>
      </c>
      <c r="D49" s="119">
        <f>SUM(D23:D48)</f>
        <v>23.609999999999996</v>
      </c>
      <c r="E49" s="119">
        <f>SUM(E23:E48)</f>
        <v>18.999999999999996</v>
      </c>
      <c r="F49" s="119">
        <f>SUM(F23:F48)</f>
        <v>5.3</v>
      </c>
      <c r="G49" s="119">
        <f>SUM(G23:G48)</f>
        <v>13.699999999999998</v>
      </c>
      <c r="H49" s="121"/>
    </row>
    <row r="50" spans="1:8" s="18" customFormat="1" ht="23.25" customHeight="1">
      <c r="A50" s="216" t="s">
        <v>365</v>
      </c>
      <c r="B50" s="216"/>
      <c r="C50" s="119"/>
      <c r="D50" s="122"/>
      <c r="E50" s="119">
        <f>E49/C49*100</f>
        <v>80.47437526471833</v>
      </c>
      <c r="F50" s="119"/>
      <c r="G50" s="119"/>
      <c r="H50" s="121"/>
    </row>
    <row r="51" spans="1:8" ht="15.75" customHeight="1">
      <c r="A51" s="117" t="s">
        <v>358</v>
      </c>
      <c r="B51" s="228" t="s">
        <v>359</v>
      </c>
      <c r="C51" s="228"/>
      <c r="D51" s="228"/>
      <c r="E51" s="228"/>
      <c r="F51" s="228"/>
      <c r="G51" s="228"/>
      <c r="H51" s="228"/>
    </row>
    <row r="52" spans="1:8" ht="16.5">
      <c r="A52" s="69">
        <v>1</v>
      </c>
      <c r="B52" s="123" t="s">
        <v>603</v>
      </c>
      <c r="C52" s="118">
        <f>1200/1000</f>
        <v>1.2</v>
      </c>
      <c r="D52" s="118">
        <f>C52</f>
        <v>1.2</v>
      </c>
      <c r="E52" s="118">
        <v>1.2</v>
      </c>
      <c r="F52" s="118">
        <f>E52</f>
        <v>1.2</v>
      </c>
      <c r="G52" s="118"/>
      <c r="H52" s="124"/>
    </row>
    <row r="53" spans="1:8" ht="16.5">
      <c r="A53" s="69">
        <v>2</v>
      </c>
      <c r="B53" s="123" t="s">
        <v>604</v>
      </c>
      <c r="C53" s="118">
        <f>1500/1000</f>
        <v>1.5</v>
      </c>
      <c r="D53" s="118">
        <f aca="true" t="shared" si="2" ref="D53:D93">C53</f>
        <v>1.5</v>
      </c>
      <c r="E53" s="118">
        <v>1.5</v>
      </c>
      <c r="F53" s="118"/>
      <c r="G53" s="118">
        <f>E53</f>
        <v>1.5</v>
      </c>
      <c r="H53" s="125"/>
    </row>
    <row r="54" spans="1:8" ht="16.5">
      <c r="A54" s="69">
        <v>3</v>
      </c>
      <c r="B54" s="123" t="s">
        <v>605</v>
      </c>
      <c r="C54" s="118">
        <f>2300/1000</f>
        <v>2.3</v>
      </c>
      <c r="D54" s="118">
        <f t="shared" si="2"/>
        <v>2.3</v>
      </c>
      <c r="E54" s="118">
        <v>1.3</v>
      </c>
      <c r="F54" s="118"/>
      <c r="G54" s="118">
        <f>E54</f>
        <v>1.3</v>
      </c>
      <c r="H54" s="125"/>
    </row>
    <row r="55" spans="1:8" ht="16.5">
      <c r="A55" s="69">
        <v>4</v>
      </c>
      <c r="B55" s="123" t="s">
        <v>606</v>
      </c>
      <c r="C55" s="118">
        <f>1000/1000</f>
        <v>1</v>
      </c>
      <c r="D55" s="118">
        <f t="shared" si="2"/>
        <v>1</v>
      </c>
      <c r="E55" s="118"/>
      <c r="F55" s="118"/>
      <c r="G55" s="118"/>
      <c r="H55" s="125"/>
    </row>
    <row r="56" spans="1:8" ht="16.5">
      <c r="A56" s="69">
        <v>5</v>
      </c>
      <c r="B56" s="123" t="s">
        <v>607</v>
      </c>
      <c r="C56" s="118">
        <f>400/1000</f>
        <v>0.4</v>
      </c>
      <c r="D56" s="118">
        <f t="shared" si="2"/>
        <v>0.4</v>
      </c>
      <c r="E56" s="118"/>
      <c r="F56" s="118"/>
      <c r="G56" s="118"/>
      <c r="H56" s="125"/>
    </row>
    <row r="57" spans="1:8" ht="16.5">
      <c r="A57" s="69">
        <v>6</v>
      </c>
      <c r="B57" s="123" t="s">
        <v>608</v>
      </c>
      <c r="C57" s="118">
        <v>0.3</v>
      </c>
      <c r="D57" s="118">
        <f t="shared" si="2"/>
        <v>0.3</v>
      </c>
      <c r="E57" s="118">
        <v>0.3</v>
      </c>
      <c r="F57" s="118"/>
      <c r="G57" s="118">
        <f>E57</f>
        <v>0.3</v>
      </c>
      <c r="H57" s="125"/>
    </row>
    <row r="58" spans="1:8" ht="16.5">
      <c r="A58" s="69">
        <v>7</v>
      </c>
      <c r="B58" s="123" t="s">
        <v>609</v>
      </c>
      <c r="C58" s="118">
        <v>0.3</v>
      </c>
      <c r="D58" s="118">
        <f t="shared" si="2"/>
        <v>0.3</v>
      </c>
      <c r="E58" s="118"/>
      <c r="F58" s="118"/>
      <c r="G58" s="118"/>
      <c r="H58" s="125"/>
    </row>
    <row r="59" spans="1:8" ht="16.5">
      <c r="A59" s="69">
        <v>8</v>
      </c>
      <c r="B59" s="123" t="s">
        <v>610</v>
      </c>
      <c r="C59" s="118">
        <v>0.6</v>
      </c>
      <c r="D59" s="118">
        <f t="shared" si="2"/>
        <v>0.6</v>
      </c>
      <c r="E59" s="118"/>
      <c r="F59" s="118"/>
      <c r="G59" s="118"/>
      <c r="H59" s="125"/>
    </row>
    <row r="60" spans="1:8" ht="16.5">
      <c r="A60" s="69">
        <v>9</v>
      </c>
      <c r="B60" s="123" t="s">
        <v>611</v>
      </c>
      <c r="C60" s="126">
        <v>0.9</v>
      </c>
      <c r="D60" s="118">
        <f t="shared" si="2"/>
        <v>0.9</v>
      </c>
      <c r="E60" s="126">
        <v>0.9</v>
      </c>
      <c r="F60" s="118"/>
      <c r="G60" s="126">
        <f>E60</f>
        <v>0.9</v>
      </c>
      <c r="H60" s="125"/>
    </row>
    <row r="61" spans="1:8" ht="16.5">
      <c r="A61" s="69">
        <v>10</v>
      </c>
      <c r="B61" s="123" t="s">
        <v>612</v>
      </c>
      <c r="C61" s="126">
        <v>1.2</v>
      </c>
      <c r="D61" s="118">
        <f t="shared" si="2"/>
        <v>1.2</v>
      </c>
      <c r="E61" s="126">
        <v>1.2</v>
      </c>
      <c r="F61" s="118"/>
      <c r="G61" s="126">
        <f aca="true" t="shared" si="3" ref="G61:G74">E61</f>
        <v>1.2</v>
      </c>
      <c r="H61" s="125"/>
    </row>
    <row r="62" spans="1:8" ht="16.5">
      <c r="A62" s="69">
        <v>11</v>
      </c>
      <c r="B62" s="123" t="s">
        <v>613</v>
      </c>
      <c r="C62" s="126">
        <v>0.8</v>
      </c>
      <c r="D62" s="118">
        <f t="shared" si="2"/>
        <v>0.8</v>
      </c>
      <c r="E62" s="126">
        <v>0.8</v>
      </c>
      <c r="F62" s="118"/>
      <c r="G62" s="126">
        <f t="shared" si="3"/>
        <v>0.8</v>
      </c>
      <c r="H62" s="125"/>
    </row>
    <row r="63" spans="1:8" ht="16.5">
      <c r="A63" s="69">
        <v>12</v>
      </c>
      <c r="B63" s="123" t="s">
        <v>614</v>
      </c>
      <c r="C63" s="126">
        <v>0.4</v>
      </c>
      <c r="D63" s="118">
        <f t="shared" si="2"/>
        <v>0.4</v>
      </c>
      <c r="E63" s="126"/>
      <c r="F63" s="118"/>
      <c r="G63" s="126"/>
      <c r="H63" s="125"/>
    </row>
    <row r="64" spans="1:8" ht="16.5">
      <c r="A64" s="69">
        <v>13</v>
      </c>
      <c r="B64" s="123" t="s">
        <v>615</v>
      </c>
      <c r="C64" s="126">
        <v>0.4</v>
      </c>
      <c r="D64" s="118">
        <f t="shared" si="2"/>
        <v>0.4</v>
      </c>
      <c r="E64" s="127"/>
      <c r="F64" s="119"/>
      <c r="G64" s="126"/>
      <c r="H64" s="125"/>
    </row>
    <row r="65" spans="1:8" ht="16.5">
      <c r="A65" s="69">
        <v>14</v>
      </c>
      <c r="B65" s="123" t="s">
        <v>616</v>
      </c>
      <c r="C65" s="126">
        <v>0.4</v>
      </c>
      <c r="D65" s="118">
        <f t="shared" si="2"/>
        <v>0.4</v>
      </c>
      <c r="E65" s="127"/>
      <c r="F65" s="119"/>
      <c r="G65" s="126"/>
      <c r="H65" s="125"/>
    </row>
    <row r="66" spans="1:8" ht="16.5">
      <c r="A66" s="69">
        <v>15</v>
      </c>
      <c r="B66" s="123" t="s">
        <v>617</v>
      </c>
      <c r="C66" s="126">
        <v>1.2</v>
      </c>
      <c r="D66" s="118">
        <f t="shared" si="2"/>
        <v>1.2</v>
      </c>
      <c r="E66" s="126">
        <v>1.2</v>
      </c>
      <c r="F66" s="126"/>
      <c r="G66" s="126">
        <f t="shared" si="3"/>
        <v>1.2</v>
      </c>
      <c r="H66" s="125"/>
    </row>
    <row r="67" spans="1:8" ht="16.5">
      <c r="A67" s="69">
        <v>16</v>
      </c>
      <c r="B67" s="123" t="s">
        <v>618</v>
      </c>
      <c r="C67" s="126">
        <v>0.5</v>
      </c>
      <c r="D67" s="118">
        <f t="shared" si="2"/>
        <v>0.5</v>
      </c>
      <c r="E67" s="126"/>
      <c r="F67" s="126"/>
      <c r="G67" s="126"/>
      <c r="H67" s="125"/>
    </row>
    <row r="68" spans="1:8" ht="16.5">
      <c r="A68" s="69">
        <v>17</v>
      </c>
      <c r="B68" s="123" t="s">
        <v>619</v>
      </c>
      <c r="C68" s="126">
        <v>0.9</v>
      </c>
      <c r="D68" s="118">
        <f t="shared" si="2"/>
        <v>0.9</v>
      </c>
      <c r="E68" s="126"/>
      <c r="F68" s="126"/>
      <c r="G68" s="126"/>
      <c r="H68" s="125"/>
    </row>
    <row r="69" spans="1:8" ht="16.5">
      <c r="A69" s="69">
        <v>18</v>
      </c>
      <c r="B69" s="123" t="s">
        <v>620</v>
      </c>
      <c r="C69" s="126">
        <v>0.2</v>
      </c>
      <c r="D69" s="118">
        <f t="shared" si="2"/>
        <v>0.2</v>
      </c>
      <c r="E69" s="126"/>
      <c r="F69" s="126"/>
      <c r="G69" s="126"/>
      <c r="H69" s="125"/>
    </row>
    <row r="70" spans="1:8" ht="16.5">
      <c r="A70" s="69">
        <v>19</v>
      </c>
      <c r="B70" s="123" t="s">
        <v>621</v>
      </c>
      <c r="C70" s="126">
        <v>0.5</v>
      </c>
      <c r="D70" s="118">
        <f t="shared" si="2"/>
        <v>0.5</v>
      </c>
      <c r="E70" s="126">
        <v>0.5</v>
      </c>
      <c r="F70" s="126"/>
      <c r="G70" s="126">
        <f t="shared" si="3"/>
        <v>0.5</v>
      </c>
      <c r="H70" s="80"/>
    </row>
    <row r="71" spans="1:8" ht="16.5">
      <c r="A71" s="69">
        <v>20</v>
      </c>
      <c r="B71" s="123" t="s">
        <v>622</v>
      </c>
      <c r="C71" s="126">
        <v>0.2</v>
      </c>
      <c r="D71" s="118">
        <f t="shared" si="2"/>
        <v>0.2</v>
      </c>
      <c r="E71" s="126"/>
      <c r="F71" s="126"/>
      <c r="G71" s="126"/>
      <c r="H71" s="125"/>
    </row>
    <row r="72" spans="1:8" ht="16.5">
      <c r="A72" s="69">
        <v>21</v>
      </c>
      <c r="B72" s="123" t="s">
        <v>623</v>
      </c>
      <c r="C72" s="126">
        <v>1.9</v>
      </c>
      <c r="D72" s="118">
        <f t="shared" si="2"/>
        <v>1.9</v>
      </c>
      <c r="E72" s="126">
        <v>1.9</v>
      </c>
      <c r="F72" s="126"/>
      <c r="G72" s="126">
        <f t="shared" si="3"/>
        <v>1.9</v>
      </c>
      <c r="H72" s="80"/>
    </row>
    <row r="73" spans="1:8" ht="16.5">
      <c r="A73" s="69">
        <v>22</v>
      </c>
      <c r="B73" s="123" t="s">
        <v>624</v>
      </c>
      <c r="C73" s="126">
        <v>0.9</v>
      </c>
      <c r="D73" s="118">
        <f t="shared" si="2"/>
        <v>0.9</v>
      </c>
      <c r="E73" s="126">
        <v>0.9</v>
      </c>
      <c r="F73" s="126"/>
      <c r="G73" s="126">
        <f t="shared" si="3"/>
        <v>0.9</v>
      </c>
      <c r="H73" s="80"/>
    </row>
    <row r="74" spans="1:8" ht="16.5">
      <c r="A74" s="69">
        <v>23</v>
      </c>
      <c r="B74" s="123" t="s">
        <v>625</v>
      </c>
      <c r="C74" s="126">
        <v>2.8</v>
      </c>
      <c r="D74" s="118">
        <f t="shared" si="2"/>
        <v>2.8</v>
      </c>
      <c r="E74" s="126">
        <v>1.8</v>
      </c>
      <c r="F74" s="126"/>
      <c r="G74" s="126">
        <f t="shared" si="3"/>
        <v>1.8</v>
      </c>
      <c r="H74" s="125"/>
    </row>
    <row r="75" spans="1:8" ht="16.5">
      <c r="A75" s="69">
        <v>24</v>
      </c>
      <c r="B75" s="123" t="s">
        <v>626</v>
      </c>
      <c r="C75" s="126">
        <v>1.2</v>
      </c>
      <c r="D75" s="118">
        <f t="shared" si="2"/>
        <v>1.2</v>
      </c>
      <c r="E75" s="126">
        <v>1.2</v>
      </c>
      <c r="F75" s="118"/>
      <c r="G75" s="126">
        <f>E75</f>
        <v>1.2</v>
      </c>
      <c r="H75" s="80"/>
    </row>
    <row r="76" spans="1:8" ht="16.5">
      <c r="A76" s="69">
        <v>25</v>
      </c>
      <c r="B76" s="123" t="s">
        <v>627</v>
      </c>
      <c r="C76" s="126">
        <v>1</v>
      </c>
      <c r="D76" s="118">
        <f t="shared" si="2"/>
        <v>1</v>
      </c>
      <c r="E76" s="126">
        <v>1</v>
      </c>
      <c r="F76" s="118"/>
      <c r="G76" s="126">
        <f>E76</f>
        <v>1</v>
      </c>
      <c r="H76" s="80"/>
    </row>
    <row r="77" spans="1:8" ht="16.5">
      <c r="A77" s="69">
        <v>26</v>
      </c>
      <c r="B77" s="123" t="s">
        <v>628</v>
      </c>
      <c r="C77" s="126">
        <v>0.3</v>
      </c>
      <c r="D77" s="118">
        <f t="shared" si="2"/>
        <v>0.3</v>
      </c>
      <c r="E77" s="126">
        <v>0.3</v>
      </c>
      <c r="F77" s="118"/>
      <c r="G77" s="126">
        <f>E77</f>
        <v>0.3</v>
      </c>
      <c r="H77" s="80"/>
    </row>
    <row r="78" spans="1:8" ht="16.5">
      <c r="A78" s="69">
        <v>27</v>
      </c>
      <c r="B78" s="123" t="s">
        <v>629</v>
      </c>
      <c r="C78" s="126">
        <v>0.15</v>
      </c>
      <c r="D78" s="118">
        <f t="shared" si="2"/>
        <v>0.15</v>
      </c>
      <c r="E78" s="126"/>
      <c r="F78" s="118"/>
      <c r="G78" s="118"/>
      <c r="H78" s="125"/>
    </row>
    <row r="79" spans="1:8" ht="16.5">
      <c r="A79" s="69">
        <v>28</v>
      </c>
      <c r="B79" s="123" t="s">
        <v>630</v>
      </c>
      <c r="C79" s="126">
        <v>0.15</v>
      </c>
      <c r="D79" s="118">
        <f t="shared" si="2"/>
        <v>0.15</v>
      </c>
      <c r="E79" s="126"/>
      <c r="F79" s="118"/>
      <c r="G79" s="118"/>
      <c r="H79" s="125"/>
    </row>
    <row r="80" spans="1:8" ht="16.5">
      <c r="A80" s="69">
        <v>29</v>
      </c>
      <c r="B80" s="123" t="s">
        <v>631</v>
      </c>
      <c r="C80" s="126">
        <v>0.65</v>
      </c>
      <c r="D80" s="118">
        <f t="shared" si="2"/>
        <v>0.65</v>
      </c>
      <c r="E80" s="126">
        <v>0.7</v>
      </c>
      <c r="F80" s="118"/>
      <c r="G80" s="118">
        <f>E80</f>
        <v>0.7</v>
      </c>
      <c r="H80" s="125"/>
    </row>
    <row r="81" spans="1:8" ht="16.5">
      <c r="A81" s="69">
        <v>30</v>
      </c>
      <c r="B81" s="123" t="s">
        <v>632</v>
      </c>
      <c r="C81" s="126">
        <v>0.72</v>
      </c>
      <c r="D81" s="118">
        <f t="shared" si="2"/>
        <v>0.72</v>
      </c>
      <c r="E81" s="126">
        <v>0.72</v>
      </c>
      <c r="F81" s="126">
        <f>E81</f>
        <v>0.72</v>
      </c>
      <c r="G81" s="118"/>
      <c r="H81" s="80"/>
    </row>
    <row r="82" spans="1:8" ht="16.5">
      <c r="A82" s="69">
        <v>31</v>
      </c>
      <c r="B82" s="123" t="s">
        <v>633</v>
      </c>
      <c r="C82" s="126">
        <v>1.75</v>
      </c>
      <c r="D82" s="118">
        <f t="shared" si="2"/>
        <v>1.75</v>
      </c>
      <c r="E82" s="126">
        <v>1</v>
      </c>
      <c r="F82" s="118"/>
      <c r="G82" s="118">
        <f>E82</f>
        <v>1</v>
      </c>
      <c r="H82" s="125"/>
    </row>
    <row r="83" spans="1:8" ht="16.5">
      <c r="A83" s="69">
        <v>32</v>
      </c>
      <c r="B83" s="123" t="s">
        <v>634</v>
      </c>
      <c r="C83" s="126">
        <v>0.65</v>
      </c>
      <c r="D83" s="118">
        <f t="shared" si="2"/>
        <v>0.65</v>
      </c>
      <c r="E83" s="126">
        <v>0.7</v>
      </c>
      <c r="F83" s="118"/>
      <c r="G83" s="118">
        <f>E83</f>
        <v>0.7</v>
      </c>
      <c r="H83" s="125"/>
    </row>
    <row r="84" spans="1:8" ht="16.5">
      <c r="A84" s="69">
        <v>33</v>
      </c>
      <c r="B84" s="123" t="s">
        <v>635</v>
      </c>
      <c r="C84" s="126">
        <v>0.4</v>
      </c>
      <c r="D84" s="118">
        <f t="shared" si="2"/>
        <v>0.4</v>
      </c>
      <c r="E84" s="126"/>
      <c r="F84" s="118"/>
      <c r="G84" s="118"/>
      <c r="H84" s="125"/>
    </row>
    <row r="85" spans="1:8" ht="16.5">
      <c r="A85" s="69">
        <v>34</v>
      </c>
      <c r="B85" s="123" t="s">
        <v>636</v>
      </c>
      <c r="C85" s="126">
        <v>1.02</v>
      </c>
      <c r="D85" s="118">
        <f t="shared" si="2"/>
        <v>1.02</v>
      </c>
      <c r="E85" s="126">
        <v>1.02</v>
      </c>
      <c r="F85" s="118">
        <f>E85</f>
        <v>1.02</v>
      </c>
      <c r="G85" s="118"/>
      <c r="H85" s="80"/>
    </row>
    <row r="86" spans="1:8" ht="16.5">
      <c r="A86" s="69">
        <v>35</v>
      </c>
      <c r="B86" s="123" t="s">
        <v>637</v>
      </c>
      <c r="C86" s="126">
        <v>0.7</v>
      </c>
      <c r="D86" s="118">
        <f t="shared" si="2"/>
        <v>0.7</v>
      </c>
      <c r="E86" s="126">
        <v>0.7</v>
      </c>
      <c r="F86" s="118"/>
      <c r="G86" s="126">
        <f aca="true" t="shared" si="4" ref="G86:G93">E86</f>
        <v>0.7</v>
      </c>
      <c r="H86" s="80"/>
    </row>
    <row r="87" spans="1:8" ht="16.5">
      <c r="A87" s="69">
        <v>36</v>
      </c>
      <c r="B87" s="123" t="s">
        <v>638</v>
      </c>
      <c r="C87" s="126">
        <v>0.8</v>
      </c>
      <c r="D87" s="118">
        <f t="shared" si="2"/>
        <v>0.8</v>
      </c>
      <c r="E87" s="126">
        <v>0.8</v>
      </c>
      <c r="F87" s="118"/>
      <c r="G87" s="126">
        <f t="shared" si="4"/>
        <v>0.8</v>
      </c>
      <c r="H87" s="80"/>
    </row>
    <row r="88" spans="1:8" ht="16.5">
      <c r="A88" s="69">
        <v>37</v>
      </c>
      <c r="B88" s="123" t="s">
        <v>639</v>
      </c>
      <c r="C88" s="126">
        <v>0.4</v>
      </c>
      <c r="D88" s="118">
        <f t="shared" si="2"/>
        <v>0.4</v>
      </c>
      <c r="E88" s="126">
        <v>0.4</v>
      </c>
      <c r="F88" s="118"/>
      <c r="G88" s="126">
        <f t="shared" si="4"/>
        <v>0.4</v>
      </c>
      <c r="H88" s="80"/>
    </row>
    <row r="89" spans="1:8" ht="16.5">
      <c r="A89" s="69">
        <v>38</v>
      </c>
      <c r="B89" s="123" t="s">
        <v>640</v>
      </c>
      <c r="C89" s="126">
        <v>0.6</v>
      </c>
      <c r="D89" s="118">
        <f t="shared" si="2"/>
        <v>0.6</v>
      </c>
      <c r="E89" s="126">
        <v>0.6</v>
      </c>
      <c r="F89" s="118"/>
      <c r="G89" s="126">
        <f t="shared" si="4"/>
        <v>0.6</v>
      </c>
      <c r="H89" s="80"/>
    </row>
    <row r="90" spans="1:8" ht="16.5">
      <c r="A90" s="69">
        <v>39</v>
      </c>
      <c r="B90" s="123" t="s">
        <v>641</v>
      </c>
      <c r="C90" s="126">
        <v>1.2</v>
      </c>
      <c r="D90" s="118">
        <f t="shared" si="2"/>
        <v>1.2</v>
      </c>
      <c r="E90" s="126">
        <v>0.6</v>
      </c>
      <c r="F90" s="118"/>
      <c r="G90" s="126">
        <f t="shared" si="4"/>
        <v>0.6</v>
      </c>
      <c r="H90" s="125"/>
    </row>
    <row r="91" spans="1:8" ht="16.5">
      <c r="A91" s="69">
        <v>40</v>
      </c>
      <c r="B91" s="123" t="s">
        <v>642</v>
      </c>
      <c r="C91" s="126">
        <v>1.5</v>
      </c>
      <c r="D91" s="118">
        <f t="shared" si="2"/>
        <v>1.5</v>
      </c>
      <c r="E91" s="126">
        <v>1.5</v>
      </c>
      <c r="F91" s="118"/>
      <c r="G91" s="126">
        <f t="shared" si="4"/>
        <v>1.5</v>
      </c>
      <c r="H91" s="80"/>
    </row>
    <row r="92" spans="1:8" ht="16.5">
      <c r="A92" s="69">
        <v>41</v>
      </c>
      <c r="B92" s="123" t="s">
        <v>643</v>
      </c>
      <c r="C92" s="126">
        <v>0.9</v>
      </c>
      <c r="D92" s="118">
        <f t="shared" si="2"/>
        <v>0.9</v>
      </c>
      <c r="E92" s="126">
        <v>0.9</v>
      </c>
      <c r="F92" s="118"/>
      <c r="G92" s="118">
        <f t="shared" si="4"/>
        <v>0.9</v>
      </c>
      <c r="H92" s="125"/>
    </row>
    <row r="93" spans="1:8" ht="16.5">
      <c r="A93" s="69">
        <v>42</v>
      </c>
      <c r="B93" s="123" t="s">
        <v>644</v>
      </c>
      <c r="C93" s="126">
        <v>1.8</v>
      </c>
      <c r="D93" s="118">
        <f t="shared" si="2"/>
        <v>1.8</v>
      </c>
      <c r="E93" s="126">
        <v>0.8</v>
      </c>
      <c r="F93" s="118"/>
      <c r="G93" s="118">
        <f t="shared" si="4"/>
        <v>0.8</v>
      </c>
      <c r="H93" s="125"/>
    </row>
    <row r="94" spans="1:10" ht="16.5">
      <c r="A94" s="230" t="s">
        <v>330</v>
      </c>
      <c r="B94" s="230"/>
      <c r="C94" s="127">
        <f>SUM(C52:C93)</f>
        <v>36.68999999999998</v>
      </c>
      <c r="D94" s="127">
        <f>SUM(D52:D93)</f>
        <v>36.68999999999998</v>
      </c>
      <c r="E94" s="127">
        <f>SUM(E52:E93)</f>
        <v>26.439999999999998</v>
      </c>
      <c r="F94" s="127">
        <f>SUM(F52:F93)</f>
        <v>2.94</v>
      </c>
      <c r="G94" s="127">
        <f>SUM(G52:G93)</f>
        <v>23.5</v>
      </c>
      <c r="H94" s="128"/>
      <c r="J94" s="58"/>
    </row>
    <row r="95" spans="1:8" ht="16.5">
      <c r="A95" s="230" t="s">
        <v>365</v>
      </c>
      <c r="B95" s="230"/>
      <c r="C95" s="127"/>
      <c r="D95" s="127"/>
      <c r="E95" s="127">
        <f>E94/C94*100</f>
        <v>72.06323248841649</v>
      </c>
      <c r="F95" s="119"/>
      <c r="G95" s="119"/>
      <c r="H95" s="80"/>
    </row>
    <row r="96" spans="1:8" s="18" customFormat="1" ht="16.5">
      <c r="A96" s="117" t="s">
        <v>360</v>
      </c>
      <c r="B96" s="228" t="s">
        <v>361</v>
      </c>
      <c r="C96" s="228"/>
      <c r="D96" s="228"/>
      <c r="E96" s="228"/>
      <c r="F96" s="228"/>
      <c r="G96" s="228"/>
      <c r="H96" s="228"/>
    </row>
    <row r="97" spans="1:8" ht="16.5">
      <c r="A97" s="69">
        <v>1</v>
      </c>
      <c r="B97" s="70" t="s">
        <v>645</v>
      </c>
      <c r="C97" s="118">
        <v>1.38</v>
      </c>
      <c r="D97" s="118">
        <v>1.38</v>
      </c>
      <c r="E97" s="118">
        <v>1.38</v>
      </c>
      <c r="F97" s="119"/>
      <c r="G97" s="118">
        <f>E97</f>
        <v>1.38</v>
      </c>
      <c r="H97" s="69"/>
    </row>
    <row r="98" spans="1:8" ht="16.5">
      <c r="A98" s="69">
        <v>2</v>
      </c>
      <c r="B98" s="70" t="s">
        <v>646</v>
      </c>
      <c r="C98" s="118">
        <v>0.95</v>
      </c>
      <c r="D98" s="118">
        <v>0.95</v>
      </c>
      <c r="E98" s="118">
        <v>0.95</v>
      </c>
      <c r="F98" s="119"/>
      <c r="G98" s="118">
        <f aca="true" t="shared" si="5" ref="G98:G129">E98</f>
        <v>0.95</v>
      </c>
      <c r="H98" s="69"/>
    </row>
    <row r="99" spans="1:8" ht="16.5">
      <c r="A99" s="69">
        <v>3</v>
      </c>
      <c r="B99" s="70" t="s">
        <v>647</v>
      </c>
      <c r="C99" s="118">
        <v>0.54</v>
      </c>
      <c r="D99" s="118">
        <v>0.54</v>
      </c>
      <c r="E99" s="118">
        <v>0.54</v>
      </c>
      <c r="F99" s="119"/>
      <c r="G99" s="118">
        <f t="shared" si="5"/>
        <v>0.54</v>
      </c>
      <c r="H99" s="69"/>
    </row>
    <row r="100" spans="1:8" ht="16.5">
      <c r="A100" s="69">
        <v>4</v>
      </c>
      <c r="B100" s="70" t="s">
        <v>648</v>
      </c>
      <c r="C100" s="118">
        <v>0.38</v>
      </c>
      <c r="D100" s="118">
        <v>0.38</v>
      </c>
      <c r="E100" s="118">
        <v>0</v>
      </c>
      <c r="F100" s="119"/>
      <c r="G100" s="118">
        <f t="shared" si="5"/>
        <v>0</v>
      </c>
      <c r="H100" s="69"/>
    </row>
    <row r="101" spans="1:8" ht="16.5">
      <c r="A101" s="69">
        <v>5</v>
      </c>
      <c r="B101" s="70" t="s">
        <v>649</v>
      </c>
      <c r="C101" s="118">
        <v>0.82</v>
      </c>
      <c r="D101" s="118">
        <v>0.82</v>
      </c>
      <c r="E101" s="118">
        <v>0</v>
      </c>
      <c r="F101" s="119"/>
      <c r="G101" s="118">
        <f t="shared" si="5"/>
        <v>0</v>
      </c>
      <c r="H101" s="69"/>
    </row>
    <row r="102" spans="1:8" ht="16.5">
      <c r="A102" s="69">
        <v>6</v>
      </c>
      <c r="B102" s="70" t="s">
        <v>650</v>
      </c>
      <c r="C102" s="118">
        <v>0.36</v>
      </c>
      <c r="D102" s="118">
        <v>0.36</v>
      </c>
      <c r="E102" s="118">
        <v>0</v>
      </c>
      <c r="F102" s="119"/>
      <c r="G102" s="118">
        <f t="shared" si="5"/>
        <v>0</v>
      </c>
      <c r="H102" s="69"/>
    </row>
    <row r="103" spans="1:8" ht="16.5">
      <c r="A103" s="69">
        <v>7</v>
      </c>
      <c r="B103" s="70" t="s">
        <v>651</v>
      </c>
      <c r="C103" s="118">
        <v>2.16</v>
      </c>
      <c r="D103" s="118">
        <v>2.16</v>
      </c>
      <c r="E103" s="118">
        <v>1.8</v>
      </c>
      <c r="F103" s="119"/>
      <c r="G103" s="118">
        <f t="shared" si="5"/>
        <v>1.8</v>
      </c>
      <c r="H103" s="69"/>
    </row>
    <row r="104" spans="1:8" ht="16.5">
      <c r="A104" s="69">
        <v>8</v>
      </c>
      <c r="B104" s="70" t="s">
        <v>652</v>
      </c>
      <c r="C104" s="118">
        <v>0.85</v>
      </c>
      <c r="D104" s="118">
        <v>0.85</v>
      </c>
      <c r="E104" s="118">
        <v>0.85</v>
      </c>
      <c r="F104" s="119"/>
      <c r="G104" s="118">
        <f t="shared" si="5"/>
        <v>0.85</v>
      </c>
      <c r="H104" s="69"/>
    </row>
    <row r="105" spans="1:8" ht="16.5">
      <c r="A105" s="69">
        <v>9</v>
      </c>
      <c r="B105" s="70" t="s">
        <v>653</v>
      </c>
      <c r="C105" s="118">
        <v>0.36</v>
      </c>
      <c r="D105" s="118">
        <v>0.36</v>
      </c>
      <c r="E105" s="118">
        <v>0</v>
      </c>
      <c r="F105" s="119"/>
      <c r="G105" s="118">
        <f t="shared" si="5"/>
        <v>0</v>
      </c>
      <c r="H105" s="69"/>
    </row>
    <row r="106" spans="1:8" ht="16.5">
      <c r="A106" s="69">
        <v>10</v>
      </c>
      <c r="B106" s="70" t="s">
        <v>654</v>
      </c>
      <c r="C106" s="118">
        <v>0.35</v>
      </c>
      <c r="D106" s="118">
        <v>0.35</v>
      </c>
      <c r="E106" s="118">
        <v>0</v>
      </c>
      <c r="F106" s="119"/>
      <c r="G106" s="118">
        <f t="shared" si="5"/>
        <v>0</v>
      </c>
      <c r="H106" s="69"/>
    </row>
    <row r="107" spans="1:8" ht="16.5">
      <c r="A107" s="69">
        <v>11</v>
      </c>
      <c r="B107" s="70" t="s">
        <v>655</v>
      </c>
      <c r="C107" s="118">
        <v>0.45</v>
      </c>
      <c r="D107" s="118">
        <v>0.45</v>
      </c>
      <c r="E107" s="118">
        <v>0.45</v>
      </c>
      <c r="F107" s="119"/>
      <c r="G107" s="118">
        <f t="shared" si="5"/>
        <v>0.45</v>
      </c>
      <c r="H107" s="69"/>
    </row>
    <row r="108" spans="1:8" ht="16.5">
      <c r="A108" s="69">
        <v>12</v>
      </c>
      <c r="B108" s="70" t="s">
        <v>656</v>
      </c>
      <c r="C108" s="118">
        <v>0.96</v>
      </c>
      <c r="D108" s="118">
        <v>0.96</v>
      </c>
      <c r="E108" s="118">
        <v>0.96</v>
      </c>
      <c r="F108" s="119"/>
      <c r="G108" s="118">
        <f t="shared" si="5"/>
        <v>0.96</v>
      </c>
      <c r="H108" s="69"/>
    </row>
    <row r="109" spans="1:8" ht="16.5">
      <c r="A109" s="69">
        <v>13</v>
      </c>
      <c r="B109" s="70" t="s">
        <v>657</v>
      </c>
      <c r="C109" s="118">
        <v>0.35</v>
      </c>
      <c r="D109" s="118">
        <v>0.35</v>
      </c>
      <c r="E109" s="118">
        <v>0</v>
      </c>
      <c r="F109" s="119"/>
      <c r="G109" s="118">
        <f t="shared" si="5"/>
        <v>0</v>
      </c>
      <c r="H109" s="69"/>
    </row>
    <row r="110" spans="1:8" ht="16.5">
      <c r="A110" s="69">
        <v>14</v>
      </c>
      <c r="B110" s="70" t="s">
        <v>658</v>
      </c>
      <c r="C110" s="118">
        <v>0.97</v>
      </c>
      <c r="D110" s="118">
        <v>0.97</v>
      </c>
      <c r="E110" s="118">
        <v>0.97</v>
      </c>
      <c r="F110" s="119"/>
      <c r="G110" s="118">
        <f t="shared" si="5"/>
        <v>0.97</v>
      </c>
      <c r="H110" s="69"/>
    </row>
    <row r="111" spans="1:8" ht="16.5">
      <c r="A111" s="69">
        <v>15</v>
      </c>
      <c r="B111" s="70" t="s">
        <v>659</v>
      </c>
      <c r="C111" s="118">
        <v>0.67</v>
      </c>
      <c r="D111" s="118">
        <v>0.67</v>
      </c>
      <c r="E111" s="118">
        <v>0.67</v>
      </c>
      <c r="F111" s="119"/>
      <c r="G111" s="118">
        <f t="shared" si="5"/>
        <v>0.67</v>
      </c>
      <c r="H111" s="69"/>
    </row>
    <row r="112" spans="1:8" ht="16.5">
      <c r="A112" s="69">
        <v>16</v>
      </c>
      <c r="B112" s="70" t="s">
        <v>660</v>
      </c>
      <c r="C112" s="118">
        <v>1.26</v>
      </c>
      <c r="D112" s="118">
        <v>1.26</v>
      </c>
      <c r="E112" s="118">
        <v>1.26</v>
      </c>
      <c r="F112" s="119"/>
      <c r="G112" s="118">
        <f t="shared" si="5"/>
        <v>1.26</v>
      </c>
      <c r="H112" s="69"/>
    </row>
    <row r="113" spans="1:8" ht="16.5">
      <c r="A113" s="69">
        <v>17</v>
      </c>
      <c r="B113" s="70" t="s">
        <v>661</v>
      </c>
      <c r="C113" s="118">
        <v>0.72</v>
      </c>
      <c r="D113" s="118">
        <v>0.72</v>
      </c>
      <c r="E113" s="118">
        <v>0.72</v>
      </c>
      <c r="F113" s="119"/>
      <c r="G113" s="118">
        <f t="shared" si="5"/>
        <v>0.72</v>
      </c>
      <c r="H113" s="69"/>
    </row>
    <row r="114" spans="1:8" ht="16.5">
      <c r="A114" s="69">
        <v>18</v>
      </c>
      <c r="B114" s="70" t="s">
        <v>662</v>
      </c>
      <c r="C114" s="118">
        <v>1.06</v>
      </c>
      <c r="D114" s="118">
        <v>1.06</v>
      </c>
      <c r="E114" s="118">
        <v>1.06</v>
      </c>
      <c r="F114" s="119"/>
      <c r="G114" s="118">
        <f t="shared" si="5"/>
        <v>1.06</v>
      </c>
      <c r="H114" s="69"/>
    </row>
    <row r="115" spans="1:8" ht="16.5">
      <c r="A115" s="69">
        <v>19</v>
      </c>
      <c r="B115" s="70" t="s">
        <v>663</v>
      </c>
      <c r="C115" s="118">
        <v>0.62</v>
      </c>
      <c r="D115" s="118">
        <v>0.62</v>
      </c>
      <c r="E115" s="118">
        <v>0.62</v>
      </c>
      <c r="F115" s="119"/>
      <c r="G115" s="118">
        <f t="shared" si="5"/>
        <v>0.62</v>
      </c>
      <c r="H115" s="69"/>
    </row>
    <row r="116" spans="1:8" ht="16.5">
      <c r="A116" s="69">
        <v>20</v>
      </c>
      <c r="B116" s="70" t="s">
        <v>664</v>
      </c>
      <c r="C116" s="118">
        <v>0.89</v>
      </c>
      <c r="D116" s="118">
        <v>0.89</v>
      </c>
      <c r="E116" s="118">
        <v>0.89</v>
      </c>
      <c r="F116" s="119"/>
      <c r="G116" s="118">
        <f t="shared" si="5"/>
        <v>0.89</v>
      </c>
      <c r="H116" s="69"/>
    </row>
    <row r="117" spans="1:8" ht="16.5">
      <c r="A117" s="69">
        <v>21</v>
      </c>
      <c r="B117" s="70" t="s">
        <v>665</v>
      </c>
      <c r="C117" s="118">
        <v>1.63</v>
      </c>
      <c r="D117" s="118">
        <v>1.63</v>
      </c>
      <c r="E117" s="118">
        <v>1.63</v>
      </c>
      <c r="F117" s="119"/>
      <c r="G117" s="118">
        <f t="shared" si="5"/>
        <v>1.63</v>
      </c>
      <c r="H117" s="69"/>
    </row>
    <row r="118" spans="1:8" ht="16.5">
      <c r="A118" s="69">
        <v>22</v>
      </c>
      <c r="B118" s="70" t="s">
        <v>666</v>
      </c>
      <c r="C118" s="118">
        <v>1.13</v>
      </c>
      <c r="D118" s="118">
        <v>1.13</v>
      </c>
      <c r="E118" s="118">
        <v>0.35</v>
      </c>
      <c r="F118" s="119"/>
      <c r="G118" s="118">
        <f t="shared" si="5"/>
        <v>0.35</v>
      </c>
      <c r="H118" s="69"/>
    </row>
    <row r="119" spans="1:8" ht="16.5">
      <c r="A119" s="69">
        <v>23</v>
      </c>
      <c r="B119" s="70" t="s">
        <v>667</v>
      </c>
      <c r="C119" s="118">
        <v>0.72</v>
      </c>
      <c r="D119" s="118">
        <v>0.72</v>
      </c>
      <c r="E119" s="118">
        <v>0</v>
      </c>
      <c r="F119" s="119"/>
      <c r="G119" s="118">
        <f t="shared" si="5"/>
        <v>0</v>
      </c>
      <c r="H119" s="69"/>
    </row>
    <row r="120" spans="1:8" ht="16.5">
      <c r="A120" s="69">
        <v>24</v>
      </c>
      <c r="B120" s="70" t="s">
        <v>668</v>
      </c>
      <c r="C120" s="118">
        <v>0.46</v>
      </c>
      <c r="D120" s="118">
        <v>0.46</v>
      </c>
      <c r="E120" s="118">
        <v>0</v>
      </c>
      <c r="F120" s="119"/>
      <c r="G120" s="118">
        <f t="shared" si="5"/>
        <v>0</v>
      </c>
      <c r="H120" s="69"/>
    </row>
    <row r="121" spans="1:8" ht="16.5">
      <c r="A121" s="69">
        <v>25</v>
      </c>
      <c r="B121" s="70" t="s">
        <v>669</v>
      </c>
      <c r="C121" s="118">
        <v>1.63</v>
      </c>
      <c r="D121" s="118">
        <v>1.63</v>
      </c>
      <c r="E121" s="118">
        <v>1.63</v>
      </c>
      <c r="F121" s="119"/>
      <c r="G121" s="118">
        <f t="shared" si="5"/>
        <v>1.63</v>
      </c>
      <c r="H121" s="69"/>
    </row>
    <row r="122" spans="1:11" ht="16.5">
      <c r="A122" s="69">
        <v>26</v>
      </c>
      <c r="B122" s="70" t="s">
        <v>670</v>
      </c>
      <c r="C122" s="118">
        <v>0.45</v>
      </c>
      <c r="D122" s="118">
        <v>0.45</v>
      </c>
      <c r="E122" s="118">
        <v>0</v>
      </c>
      <c r="F122" s="119"/>
      <c r="G122" s="118">
        <f t="shared" si="5"/>
        <v>0</v>
      </c>
      <c r="H122" s="69"/>
      <c r="K122" s="58"/>
    </row>
    <row r="123" spans="1:8" ht="16.5">
      <c r="A123" s="69">
        <v>27</v>
      </c>
      <c r="B123" s="70" t="s">
        <v>671</v>
      </c>
      <c r="C123" s="118">
        <v>0.65</v>
      </c>
      <c r="D123" s="118">
        <v>0.65</v>
      </c>
      <c r="E123" s="118">
        <v>0.65</v>
      </c>
      <c r="F123" s="119"/>
      <c r="G123" s="118">
        <f t="shared" si="5"/>
        <v>0.65</v>
      </c>
      <c r="H123" s="69"/>
    </row>
    <row r="124" spans="1:8" ht="16.5">
      <c r="A124" s="69">
        <v>28</v>
      </c>
      <c r="B124" s="70" t="s">
        <v>672</v>
      </c>
      <c r="C124" s="118">
        <v>0.53</v>
      </c>
      <c r="D124" s="118">
        <v>0.53</v>
      </c>
      <c r="E124" s="118">
        <v>0.53</v>
      </c>
      <c r="F124" s="119"/>
      <c r="G124" s="118">
        <f t="shared" si="5"/>
        <v>0.53</v>
      </c>
      <c r="H124" s="69"/>
    </row>
    <row r="125" spans="1:8" ht="16.5">
      <c r="A125" s="69">
        <v>29</v>
      </c>
      <c r="B125" s="70" t="s">
        <v>673</v>
      </c>
      <c r="C125" s="118">
        <v>0.68</v>
      </c>
      <c r="D125" s="118">
        <v>0.68</v>
      </c>
      <c r="E125" s="118">
        <v>0</v>
      </c>
      <c r="F125" s="119"/>
      <c r="G125" s="118">
        <f t="shared" si="5"/>
        <v>0</v>
      </c>
      <c r="H125" s="69"/>
    </row>
    <row r="126" spans="1:8" ht="16.5">
      <c r="A126" s="69">
        <v>30</v>
      </c>
      <c r="B126" s="70" t="s">
        <v>674</v>
      </c>
      <c r="C126" s="118">
        <v>0.25</v>
      </c>
      <c r="D126" s="118">
        <v>0.25</v>
      </c>
      <c r="E126" s="118">
        <v>0.25</v>
      </c>
      <c r="F126" s="119"/>
      <c r="G126" s="118">
        <f t="shared" si="5"/>
        <v>0.25</v>
      </c>
      <c r="H126" s="69"/>
    </row>
    <row r="127" spans="1:8" ht="16.5">
      <c r="A127" s="69">
        <v>31</v>
      </c>
      <c r="B127" s="70" t="s">
        <v>675</v>
      </c>
      <c r="C127" s="118">
        <v>1.38</v>
      </c>
      <c r="D127" s="118">
        <v>1.38</v>
      </c>
      <c r="E127" s="118">
        <v>1.38</v>
      </c>
      <c r="F127" s="119"/>
      <c r="G127" s="118">
        <f t="shared" si="5"/>
        <v>1.38</v>
      </c>
      <c r="H127" s="69"/>
    </row>
    <row r="128" spans="1:8" ht="16.5">
      <c r="A128" s="69">
        <v>32</v>
      </c>
      <c r="B128" s="70" t="s">
        <v>676</v>
      </c>
      <c r="C128" s="118">
        <v>0.62</v>
      </c>
      <c r="D128" s="118">
        <v>0.62</v>
      </c>
      <c r="E128" s="118">
        <v>0.62</v>
      </c>
      <c r="F128" s="119"/>
      <c r="G128" s="118">
        <f t="shared" si="5"/>
        <v>0.62</v>
      </c>
      <c r="H128" s="69"/>
    </row>
    <row r="129" spans="1:8" ht="16.5">
      <c r="A129" s="69">
        <v>33</v>
      </c>
      <c r="B129" s="70" t="s">
        <v>677</v>
      </c>
      <c r="C129" s="118">
        <v>0.68</v>
      </c>
      <c r="D129" s="118">
        <v>0.68</v>
      </c>
      <c r="E129" s="118">
        <v>0</v>
      </c>
      <c r="F129" s="119"/>
      <c r="G129" s="118">
        <f t="shared" si="5"/>
        <v>0</v>
      </c>
      <c r="H129" s="69"/>
    </row>
    <row r="130" spans="1:8" ht="16.5">
      <c r="A130" s="216" t="s">
        <v>330</v>
      </c>
      <c r="B130" s="216"/>
      <c r="C130" s="119">
        <f>SUM(C97:C129)</f>
        <v>26.909999999999993</v>
      </c>
      <c r="D130" s="119">
        <f>SUM(D97:D129)</f>
        <v>26.909999999999993</v>
      </c>
      <c r="E130" s="119">
        <f>SUM(E97:E129)</f>
        <v>20.16</v>
      </c>
      <c r="F130" s="119"/>
      <c r="G130" s="119">
        <f>SUM(G97:G129)</f>
        <v>20.16</v>
      </c>
      <c r="H130" s="8"/>
    </row>
    <row r="131" spans="1:8" ht="16.5">
      <c r="A131" s="216" t="s">
        <v>365</v>
      </c>
      <c r="B131" s="216"/>
      <c r="C131" s="119"/>
      <c r="D131" s="119"/>
      <c r="E131" s="119">
        <f>E130/C130*100</f>
        <v>74.91638795986624</v>
      </c>
      <c r="F131" s="119"/>
      <c r="G131" s="119"/>
      <c r="H131" s="8"/>
    </row>
    <row r="132" spans="1:8" ht="16.5">
      <c r="A132" s="117" t="s">
        <v>368</v>
      </c>
      <c r="B132" s="117" t="s">
        <v>366</v>
      </c>
      <c r="C132" s="129"/>
      <c r="D132" s="129"/>
      <c r="E132" s="129"/>
      <c r="F132" s="129"/>
      <c r="G132" s="129"/>
      <c r="H132" s="117"/>
    </row>
    <row r="133" spans="1:8" s="56" customFormat="1" ht="16.5">
      <c r="A133" s="130">
        <v>1</v>
      </c>
      <c r="B133" s="131" t="s">
        <v>571</v>
      </c>
      <c r="C133" s="126">
        <v>6.5</v>
      </c>
      <c r="D133" s="126">
        <f>C133</f>
        <v>6.5</v>
      </c>
      <c r="E133" s="126">
        <f>C133</f>
        <v>6.5</v>
      </c>
      <c r="F133" s="126">
        <v>2.035</v>
      </c>
      <c r="G133" s="118">
        <f>E133-F133</f>
        <v>4.465</v>
      </c>
      <c r="H133" s="69"/>
    </row>
    <row r="134" spans="1:8" s="56" customFormat="1" ht="16.5">
      <c r="A134" s="130">
        <v>2</v>
      </c>
      <c r="B134" s="131" t="s">
        <v>572</v>
      </c>
      <c r="C134" s="126">
        <v>2.9</v>
      </c>
      <c r="D134" s="126">
        <f aca="true" t="shared" si="6" ref="D134:D152">C134</f>
        <v>2.9</v>
      </c>
      <c r="E134" s="126">
        <v>2.683</v>
      </c>
      <c r="F134" s="126"/>
      <c r="G134" s="118">
        <f>E134-F134</f>
        <v>2.683</v>
      </c>
      <c r="H134" s="69"/>
    </row>
    <row r="135" spans="1:8" s="56" customFormat="1" ht="16.5">
      <c r="A135" s="130">
        <v>3</v>
      </c>
      <c r="B135" s="131" t="s">
        <v>573</v>
      </c>
      <c r="C135" s="126">
        <v>3</v>
      </c>
      <c r="D135" s="126">
        <f t="shared" si="6"/>
        <v>3</v>
      </c>
      <c r="E135" s="126">
        <f>C135</f>
        <v>3</v>
      </c>
      <c r="F135" s="126"/>
      <c r="G135" s="118">
        <f>E135-F135</f>
        <v>3</v>
      </c>
      <c r="H135" s="69"/>
    </row>
    <row r="136" spans="1:8" s="56" customFormat="1" ht="16.5">
      <c r="A136" s="130">
        <v>4</v>
      </c>
      <c r="B136" s="131" t="s">
        <v>574</v>
      </c>
      <c r="C136" s="126">
        <v>6.3</v>
      </c>
      <c r="D136" s="126">
        <f t="shared" si="6"/>
        <v>6.3</v>
      </c>
      <c r="E136" s="126">
        <f>C136</f>
        <v>6.3</v>
      </c>
      <c r="F136" s="126">
        <v>1.3</v>
      </c>
      <c r="G136" s="118">
        <f>E136-F136</f>
        <v>5</v>
      </c>
      <c r="H136" s="69"/>
    </row>
    <row r="137" spans="1:8" s="56" customFormat="1" ht="16.5">
      <c r="A137" s="130">
        <v>5</v>
      </c>
      <c r="B137" s="132" t="s">
        <v>678</v>
      </c>
      <c r="C137" s="118">
        <v>1.6</v>
      </c>
      <c r="D137" s="126">
        <f t="shared" si="6"/>
        <v>1.6</v>
      </c>
      <c r="E137" s="119"/>
      <c r="F137" s="119"/>
      <c r="G137" s="119"/>
      <c r="H137" s="69"/>
    </row>
    <row r="138" spans="1:8" s="56" customFormat="1" ht="16.5">
      <c r="A138" s="130">
        <v>6</v>
      </c>
      <c r="B138" s="132" t="s">
        <v>679</v>
      </c>
      <c r="C138" s="118">
        <v>0.9</v>
      </c>
      <c r="D138" s="126">
        <f t="shared" si="6"/>
        <v>0.9</v>
      </c>
      <c r="E138" s="119"/>
      <c r="F138" s="119"/>
      <c r="G138" s="119"/>
      <c r="H138" s="69"/>
    </row>
    <row r="139" spans="1:8" s="56" customFormat="1" ht="16.5">
      <c r="A139" s="130">
        <v>7</v>
      </c>
      <c r="B139" s="132" t="s">
        <v>680</v>
      </c>
      <c r="C139" s="118">
        <v>1.3</v>
      </c>
      <c r="D139" s="126">
        <f t="shared" si="6"/>
        <v>1.3</v>
      </c>
      <c r="E139" s="119"/>
      <c r="F139" s="119"/>
      <c r="G139" s="119"/>
      <c r="H139" s="69"/>
    </row>
    <row r="140" spans="1:8" s="56" customFormat="1" ht="16.5">
      <c r="A140" s="130">
        <v>8</v>
      </c>
      <c r="B140" s="132" t="s">
        <v>681</v>
      </c>
      <c r="C140" s="118">
        <v>0.9</v>
      </c>
      <c r="D140" s="126">
        <f t="shared" si="6"/>
        <v>0.9</v>
      </c>
      <c r="E140" s="119"/>
      <c r="F140" s="119"/>
      <c r="G140" s="119"/>
      <c r="H140" s="69"/>
    </row>
    <row r="141" spans="1:8" s="56" customFormat="1" ht="16.5">
      <c r="A141" s="130">
        <v>9</v>
      </c>
      <c r="B141" s="132" t="s">
        <v>682</v>
      </c>
      <c r="C141" s="118">
        <v>1.2</v>
      </c>
      <c r="D141" s="126">
        <f t="shared" si="6"/>
        <v>1.2</v>
      </c>
      <c r="E141" s="119"/>
      <c r="F141" s="119"/>
      <c r="G141" s="119"/>
      <c r="H141" s="69"/>
    </row>
    <row r="142" spans="1:8" s="56" customFormat="1" ht="16.5">
      <c r="A142" s="130">
        <v>10</v>
      </c>
      <c r="B142" s="132" t="s">
        <v>683</v>
      </c>
      <c r="C142" s="118">
        <v>1.3</v>
      </c>
      <c r="D142" s="126">
        <f t="shared" si="6"/>
        <v>1.3</v>
      </c>
      <c r="E142" s="118">
        <f>C142</f>
        <v>1.3</v>
      </c>
      <c r="F142" s="119"/>
      <c r="G142" s="118">
        <f>E142</f>
        <v>1.3</v>
      </c>
      <c r="H142" s="69"/>
    </row>
    <row r="143" spans="1:8" s="56" customFormat="1" ht="16.5">
      <c r="A143" s="130">
        <v>11</v>
      </c>
      <c r="B143" s="132" t="s">
        <v>684</v>
      </c>
      <c r="C143" s="118">
        <v>0.15</v>
      </c>
      <c r="D143" s="126">
        <f t="shared" si="6"/>
        <v>0.15</v>
      </c>
      <c r="E143" s="118">
        <f>C143</f>
        <v>0.15</v>
      </c>
      <c r="F143" s="119"/>
      <c r="G143" s="118">
        <f>E143</f>
        <v>0.15</v>
      </c>
      <c r="H143" s="69"/>
    </row>
    <row r="144" spans="1:8" s="56" customFormat="1" ht="16.5">
      <c r="A144" s="130">
        <v>12</v>
      </c>
      <c r="B144" s="132" t="s">
        <v>685</v>
      </c>
      <c r="C144" s="118">
        <v>1.2</v>
      </c>
      <c r="D144" s="126">
        <f t="shared" si="6"/>
        <v>1.2</v>
      </c>
      <c r="E144" s="118">
        <f>C144</f>
        <v>1.2</v>
      </c>
      <c r="F144" s="119"/>
      <c r="G144" s="118">
        <f>E144</f>
        <v>1.2</v>
      </c>
      <c r="H144" s="69"/>
    </row>
    <row r="145" spans="1:8" s="56" customFormat="1" ht="16.5">
      <c r="A145" s="130">
        <v>13</v>
      </c>
      <c r="B145" s="132" t="s">
        <v>686</v>
      </c>
      <c r="C145" s="118">
        <v>1.5</v>
      </c>
      <c r="D145" s="126">
        <f t="shared" si="6"/>
        <v>1.5</v>
      </c>
      <c r="E145" s="118">
        <f>C145</f>
        <v>1.5</v>
      </c>
      <c r="F145" s="119"/>
      <c r="G145" s="118">
        <f>E145</f>
        <v>1.5</v>
      </c>
      <c r="H145" s="69"/>
    </row>
    <row r="146" spans="1:8" s="56" customFormat="1" ht="16.5">
      <c r="A146" s="130">
        <v>14</v>
      </c>
      <c r="B146" s="132" t="s">
        <v>687</v>
      </c>
      <c r="C146" s="118">
        <v>0.4</v>
      </c>
      <c r="D146" s="126">
        <f t="shared" si="6"/>
        <v>0.4</v>
      </c>
      <c r="E146" s="118">
        <f>C146</f>
        <v>0.4</v>
      </c>
      <c r="F146" s="119"/>
      <c r="G146" s="118">
        <f>E146</f>
        <v>0.4</v>
      </c>
      <c r="H146" s="69"/>
    </row>
    <row r="147" spans="1:8" s="56" customFormat="1" ht="16.5">
      <c r="A147" s="130">
        <v>15</v>
      </c>
      <c r="B147" s="132" t="s">
        <v>688</v>
      </c>
      <c r="C147" s="118">
        <v>0.6</v>
      </c>
      <c r="D147" s="126">
        <f t="shared" si="6"/>
        <v>0.6</v>
      </c>
      <c r="E147" s="119"/>
      <c r="F147" s="119"/>
      <c r="G147" s="119"/>
      <c r="H147" s="69"/>
    </row>
    <row r="148" spans="1:8" s="56" customFormat="1" ht="16.5">
      <c r="A148" s="130">
        <v>16</v>
      </c>
      <c r="B148" s="132" t="s">
        <v>575</v>
      </c>
      <c r="C148" s="118">
        <v>2.038</v>
      </c>
      <c r="D148" s="126">
        <f t="shared" si="6"/>
        <v>2.038</v>
      </c>
      <c r="E148" s="118">
        <f>C148</f>
        <v>2.038</v>
      </c>
      <c r="F148" s="119"/>
      <c r="G148" s="118">
        <f>E148</f>
        <v>2.038</v>
      </c>
      <c r="H148" s="69"/>
    </row>
    <row r="149" spans="1:8" s="56" customFormat="1" ht="16.5">
      <c r="A149" s="130">
        <v>17</v>
      </c>
      <c r="B149" s="132" t="s">
        <v>689</v>
      </c>
      <c r="C149" s="118">
        <v>0.4</v>
      </c>
      <c r="D149" s="126">
        <f t="shared" si="6"/>
        <v>0.4</v>
      </c>
      <c r="E149" s="118"/>
      <c r="F149" s="119"/>
      <c r="G149" s="118"/>
      <c r="H149" s="69"/>
    </row>
    <row r="150" spans="1:8" s="56" customFormat="1" ht="16.5">
      <c r="A150" s="130">
        <v>18</v>
      </c>
      <c r="B150" s="132" t="s">
        <v>690</v>
      </c>
      <c r="C150" s="118">
        <v>0.7</v>
      </c>
      <c r="D150" s="126">
        <f t="shared" si="6"/>
        <v>0.7</v>
      </c>
      <c r="E150" s="118"/>
      <c r="F150" s="119"/>
      <c r="G150" s="118"/>
      <c r="H150" s="69"/>
    </row>
    <row r="151" spans="1:8" s="56" customFormat="1" ht="16.5">
      <c r="A151" s="130">
        <v>19</v>
      </c>
      <c r="B151" s="132" t="s">
        <v>691</v>
      </c>
      <c r="C151" s="118">
        <v>0.6</v>
      </c>
      <c r="D151" s="126">
        <f t="shared" si="6"/>
        <v>0.6</v>
      </c>
      <c r="E151" s="118"/>
      <c r="F151" s="119"/>
      <c r="G151" s="118"/>
      <c r="H151" s="69"/>
    </row>
    <row r="152" spans="1:8" s="56" customFormat="1" ht="16.5">
      <c r="A152" s="130">
        <v>20</v>
      </c>
      <c r="B152" s="132" t="s">
        <v>692</v>
      </c>
      <c r="C152" s="118">
        <v>0.5</v>
      </c>
      <c r="D152" s="126">
        <f t="shared" si="6"/>
        <v>0.5</v>
      </c>
      <c r="E152" s="118">
        <f>C152</f>
        <v>0.5</v>
      </c>
      <c r="F152" s="119"/>
      <c r="G152" s="118">
        <f>E152</f>
        <v>0.5</v>
      </c>
      <c r="H152" s="69"/>
    </row>
    <row r="153" spans="1:10" s="56" customFormat="1" ht="16.5">
      <c r="A153" s="230" t="s">
        <v>576</v>
      </c>
      <c r="B153" s="230"/>
      <c r="C153" s="127">
        <f>SUM(C133:C152)</f>
        <v>33.988</v>
      </c>
      <c r="D153" s="127">
        <f>SUM(D133:D152)</f>
        <v>33.988</v>
      </c>
      <c r="E153" s="127">
        <f>SUM(E133:E152)</f>
        <v>25.570999999999998</v>
      </c>
      <c r="F153" s="127">
        <f>SUM(F133:F152)</f>
        <v>3.335</v>
      </c>
      <c r="G153" s="127">
        <f>SUM(G133:G152)</f>
        <v>22.235999999999997</v>
      </c>
      <c r="H153" s="133"/>
      <c r="J153" s="60"/>
    </row>
    <row r="154" spans="1:8" s="56" customFormat="1" ht="16.5">
      <c r="A154" s="231" t="s">
        <v>365</v>
      </c>
      <c r="B154" s="231"/>
      <c r="C154" s="134"/>
      <c r="D154" s="134"/>
      <c r="E154" s="134">
        <f>E153/C153*100</f>
        <v>75.23537719195009</v>
      </c>
      <c r="F154" s="134"/>
      <c r="G154" s="134"/>
      <c r="H154" s="135"/>
    </row>
    <row r="155" spans="1:8" ht="16.5">
      <c r="A155" s="117" t="s">
        <v>394</v>
      </c>
      <c r="B155" s="228" t="s">
        <v>367</v>
      </c>
      <c r="C155" s="228"/>
      <c r="D155" s="228"/>
      <c r="E155" s="228"/>
      <c r="F155" s="228"/>
      <c r="G155" s="228"/>
      <c r="H155" s="228"/>
    </row>
    <row r="156" spans="1:8" ht="16.5">
      <c r="A156" s="69">
        <v>1</v>
      </c>
      <c r="B156" s="136" t="s">
        <v>369</v>
      </c>
      <c r="C156" s="118">
        <v>7</v>
      </c>
      <c r="D156" s="118">
        <f>C156</f>
        <v>7</v>
      </c>
      <c r="E156" s="118">
        <v>6.5</v>
      </c>
      <c r="F156" s="119"/>
      <c r="G156" s="118">
        <f>E156</f>
        <v>6.5</v>
      </c>
      <c r="H156" s="69"/>
    </row>
    <row r="157" spans="1:8" ht="16.5">
      <c r="A157" s="69">
        <v>2</v>
      </c>
      <c r="B157" s="136" t="s">
        <v>577</v>
      </c>
      <c r="C157" s="118">
        <v>4</v>
      </c>
      <c r="D157" s="118">
        <f aca="true" t="shared" si="7" ref="D157:D172">C157</f>
        <v>4</v>
      </c>
      <c r="E157" s="118">
        <v>4</v>
      </c>
      <c r="F157" s="118"/>
      <c r="G157" s="118">
        <f aca="true" t="shared" si="8" ref="G157:G171">E157</f>
        <v>4</v>
      </c>
      <c r="H157" s="69"/>
    </row>
    <row r="158" spans="1:8" ht="16.5">
      <c r="A158" s="69">
        <v>3</v>
      </c>
      <c r="B158" s="136" t="s">
        <v>370</v>
      </c>
      <c r="C158" s="118">
        <v>3</v>
      </c>
      <c r="D158" s="118">
        <f t="shared" si="7"/>
        <v>3</v>
      </c>
      <c r="E158" s="118">
        <v>3</v>
      </c>
      <c r="F158" s="118"/>
      <c r="G158" s="118">
        <f t="shared" si="8"/>
        <v>3</v>
      </c>
      <c r="H158" s="69"/>
    </row>
    <row r="159" spans="1:8" ht="18" customHeight="1">
      <c r="A159" s="69">
        <v>4</v>
      </c>
      <c r="B159" s="136" t="s">
        <v>371</v>
      </c>
      <c r="C159" s="118">
        <v>3</v>
      </c>
      <c r="D159" s="118">
        <f t="shared" si="7"/>
        <v>3</v>
      </c>
      <c r="E159" s="118">
        <v>3</v>
      </c>
      <c r="F159" s="118"/>
      <c r="G159" s="118">
        <f t="shared" si="8"/>
        <v>3</v>
      </c>
      <c r="H159" s="69"/>
    </row>
    <row r="160" spans="1:8" ht="18" customHeight="1">
      <c r="A160" s="69">
        <v>5</v>
      </c>
      <c r="B160" s="70" t="s">
        <v>372</v>
      </c>
      <c r="C160" s="118">
        <v>2</v>
      </c>
      <c r="D160" s="118">
        <f t="shared" si="7"/>
        <v>2</v>
      </c>
      <c r="E160" s="118">
        <v>2</v>
      </c>
      <c r="F160" s="118"/>
      <c r="G160" s="118">
        <f t="shared" si="8"/>
        <v>2</v>
      </c>
      <c r="H160" s="69"/>
    </row>
    <row r="161" spans="1:8" ht="16.5">
      <c r="A161" s="69">
        <v>6</v>
      </c>
      <c r="B161" s="136" t="s">
        <v>373</v>
      </c>
      <c r="C161" s="118">
        <v>2.5</v>
      </c>
      <c r="D161" s="118">
        <f t="shared" si="7"/>
        <v>2.5</v>
      </c>
      <c r="E161" s="118">
        <v>2.5</v>
      </c>
      <c r="F161" s="119"/>
      <c r="G161" s="118">
        <f t="shared" si="8"/>
        <v>2.5</v>
      </c>
      <c r="H161" s="69"/>
    </row>
    <row r="162" spans="1:8" ht="16.5">
      <c r="A162" s="69">
        <v>7</v>
      </c>
      <c r="B162" s="136" t="s">
        <v>578</v>
      </c>
      <c r="C162" s="118">
        <v>1.5</v>
      </c>
      <c r="D162" s="118">
        <f t="shared" si="7"/>
        <v>1.5</v>
      </c>
      <c r="E162" s="118">
        <v>1.5</v>
      </c>
      <c r="F162" s="118"/>
      <c r="G162" s="118">
        <f t="shared" si="8"/>
        <v>1.5</v>
      </c>
      <c r="H162" s="69"/>
    </row>
    <row r="163" spans="1:8" ht="16.5">
      <c r="A163" s="69">
        <v>8</v>
      </c>
      <c r="B163" s="136" t="s">
        <v>579</v>
      </c>
      <c r="C163" s="118">
        <v>3</v>
      </c>
      <c r="D163" s="118">
        <f t="shared" si="7"/>
        <v>3</v>
      </c>
      <c r="E163" s="118">
        <v>3</v>
      </c>
      <c r="F163" s="118">
        <v>3</v>
      </c>
      <c r="G163" s="118"/>
      <c r="H163" s="69"/>
    </row>
    <row r="164" spans="1:8" ht="16.5">
      <c r="A164" s="69">
        <v>9</v>
      </c>
      <c r="B164" s="136" t="s">
        <v>580</v>
      </c>
      <c r="C164" s="118">
        <v>3</v>
      </c>
      <c r="D164" s="118">
        <f t="shared" si="7"/>
        <v>3</v>
      </c>
      <c r="E164" s="118"/>
      <c r="F164" s="118"/>
      <c r="G164" s="118"/>
      <c r="H164" s="69"/>
    </row>
    <row r="165" spans="1:8" ht="16.5">
      <c r="A165" s="69">
        <v>10</v>
      </c>
      <c r="B165" s="136" t="s">
        <v>581</v>
      </c>
      <c r="C165" s="118">
        <v>5</v>
      </c>
      <c r="D165" s="118">
        <f t="shared" si="7"/>
        <v>5</v>
      </c>
      <c r="E165" s="118">
        <v>3.7</v>
      </c>
      <c r="F165" s="118"/>
      <c r="G165" s="118">
        <f t="shared" si="8"/>
        <v>3.7</v>
      </c>
      <c r="H165" s="69"/>
    </row>
    <row r="166" spans="1:8" ht="16.5">
      <c r="A166" s="69">
        <v>11</v>
      </c>
      <c r="B166" s="136" t="s">
        <v>582</v>
      </c>
      <c r="C166" s="118">
        <v>4</v>
      </c>
      <c r="D166" s="118">
        <f t="shared" si="7"/>
        <v>4</v>
      </c>
      <c r="E166" s="118">
        <v>3.5</v>
      </c>
      <c r="F166" s="118"/>
      <c r="G166" s="118">
        <f t="shared" si="8"/>
        <v>3.5</v>
      </c>
      <c r="H166" s="69"/>
    </row>
    <row r="167" spans="1:8" ht="16.5">
      <c r="A167" s="69">
        <v>12</v>
      </c>
      <c r="B167" s="136" t="s">
        <v>583</v>
      </c>
      <c r="C167" s="118">
        <v>2.5</v>
      </c>
      <c r="D167" s="118">
        <f t="shared" si="7"/>
        <v>2.5</v>
      </c>
      <c r="E167" s="118">
        <v>2.5</v>
      </c>
      <c r="F167" s="118"/>
      <c r="G167" s="118">
        <f t="shared" si="8"/>
        <v>2.5</v>
      </c>
      <c r="H167" s="69"/>
    </row>
    <row r="168" spans="1:8" ht="16.5">
      <c r="A168" s="69">
        <v>13</v>
      </c>
      <c r="B168" s="136" t="s">
        <v>584</v>
      </c>
      <c r="C168" s="118">
        <v>3</v>
      </c>
      <c r="D168" s="118">
        <f t="shared" si="7"/>
        <v>3</v>
      </c>
      <c r="E168" s="118">
        <v>3</v>
      </c>
      <c r="F168" s="118"/>
      <c r="G168" s="118">
        <f t="shared" si="8"/>
        <v>3</v>
      </c>
      <c r="H168" s="69"/>
    </row>
    <row r="169" spans="1:8" ht="16.5">
      <c r="A169" s="69">
        <v>14</v>
      </c>
      <c r="B169" s="136" t="s">
        <v>585</v>
      </c>
      <c r="C169" s="118">
        <v>3</v>
      </c>
      <c r="D169" s="118">
        <f t="shared" si="7"/>
        <v>3</v>
      </c>
      <c r="E169" s="118">
        <v>3</v>
      </c>
      <c r="F169" s="118"/>
      <c r="G169" s="118">
        <f t="shared" si="8"/>
        <v>3</v>
      </c>
      <c r="H169" s="69"/>
    </row>
    <row r="170" spans="1:8" ht="16.5">
      <c r="A170" s="69">
        <v>15</v>
      </c>
      <c r="B170" s="136" t="s">
        <v>586</v>
      </c>
      <c r="C170" s="118">
        <v>6</v>
      </c>
      <c r="D170" s="118">
        <f t="shared" si="7"/>
        <v>6</v>
      </c>
      <c r="E170" s="118">
        <v>6</v>
      </c>
      <c r="F170" s="118"/>
      <c r="G170" s="118">
        <f t="shared" si="8"/>
        <v>6</v>
      </c>
      <c r="H170" s="69"/>
    </row>
    <row r="171" spans="1:8" ht="16.5">
      <c r="A171" s="69">
        <v>16</v>
      </c>
      <c r="B171" s="136" t="s">
        <v>587</v>
      </c>
      <c r="C171" s="118">
        <v>1.5</v>
      </c>
      <c r="D171" s="118">
        <f t="shared" si="7"/>
        <v>1.5</v>
      </c>
      <c r="E171" s="118">
        <v>1.5</v>
      </c>
      <c r="F171" s="118"/>
      <c r="G171" s="118">
        <f t="shared" si="8"/>
        <v>1.5</v>
      </c>
      <c r="H171" s="69"/>
    </row>
    <row r="172" spans="1:8" ht="16.5">
      <c r="A172" s="69">
        <v>17</v>
      </c>
      <c r="B172" s="136" t="s">
        <v>374</v>
      </c>
      <c r="C172" s="118">
        <v>2</v>
      </c>
      <c r="D172" s="118">
        <f t="shared" si="7"/>
        <v>2</v>
      </c>
      <c r="E172" s="118"/>
      <c r="F172" s="118"/>
      <c r="G172" s="118"/>
      <c r="H172" s="69"/>
    </row>
    <row r="173" spans="1:9" ht="16.5">
      <c r="A173" s="232" t="s">
        <v>330</v>
      </c>
      <c r="B173" s="232"/>
      <c r="C173" s="119">
        <f>SUM(C156:C172)</f>
        <v>56</v>
      </c>
      <c r="D173" s="119">
        <f>SUM(D156:D172)</f>
        <v>56</v>
      </c>
      <c r="E173" s="119">
        <f>SUM(E156:E172)</f>
        <v>48.7</v>
      </c>
      <c r="F173" s="119">
        <f>SUM(F156:F172)</f>
        <v>3</v>
      </c>
      <c r="G173" s="119">
        <f>SUM(G156:G172)</f>
        <v>45.7</v>
      </c>
      <c r="H173" s="69"/>
      <c r="I173" s="58"/>
    </row>
    <row r="174" spans="1:8" ht="16.5">
      <c r="A174" s="216" t="s">
        <v>365</v>
      </c>
      <c r="B174" s="216"/>
      <c r="C174" s="119"/>
      <c r="D174" s="122"/>
      <c r="E174" s="119">
        <f>E173/C173*100</f>
        <v>86.96428571428572</v>
      </c>
      <c r="F174" s="119"/>
      <c r="G174" s="118"/>
      <c r="H174" s="69"/>
    </row>
    <row r="175" spans="1:8" ht="16.5">
      <c r="A175" s="117" t="s">
        <v>395</v>
      </c>
      <c r="B175" s="228" t="s">
        <v>375</v>
      </c>
      <c r="C175" s="228"/>
      <c r="D175" s="228"/>
      <c r="E175" s="228"/>
      <c r="F175" s="228"/>
      <c r="G175" s="228"/>
      <c r="H175" s="228"/>
    </row>
    <row r="176" spans="1:8" ht="16.5">
      <c r="A176" s="69">
        <v>1</v>
      </c>
      <c r="B176" s="136" t="s">
        <v>589</v>
      </c>
      <c r="C176" s="118">
        <v>0.8</v>
      </c>
      <c r="D176" s="118">
        <v>0.8</v>
      </c>
      <c r="E176" s="118">
        <v>0.8</v>
      </c>
      <c r="F176" s="118"/>
      <c r="G176" s="118">
        <f>E176</f>
        <v>0.8</v>
      </c>
      <c r="H176" s="69"/>
    </row>
    <row r="177" spans="1:8" ht="16.5">
      <c r="A177" s="69">
        <v>2</v>
      </c>
      <c r="B177" s="136" t="s">
        <v>376</v>
      </c>
      <c r="C177" s="118">
        <v>1.2</v>
      </c>
      <c r="D177" s="118">
        <v>1.2</v>
      </c>
      <c r="E177" s="118">
        <v>1</v>
      </c>
      <c r="F177" s="118"/>
      <c r="G177" s="118">
        <f aca="true" t="shared" si="9" ref="G177:G189">E177</f>
        <v>1</v>
      </c>
      <c r="H177" s="69"/>
    </row>
    <row r="178" spans="1:8" ht="16.5">
      <c r="A178" s="69">
        <v>3</v>
      </c>
      <c r="B178" s="136" t="s">
        <v>590</v>
      </c>
      <c r="C178" s="118">
        <v>0.9</v>
      </c>
      <c r="D178" s="118">
        <v>0.9</v>
      </c>
      <c r="E178" s="118">
        <v>0.9</v>
      </c>
      <c r="F178" s="118"/>
      <c r="G178" s="118">
        <f t="shared" si="9"/>
        <v>0.9</v>
      </c>
      <c r="H178" s="69"/>
    </row>
    <row r="179" spans="1:8" ht="16.5">
      <c r="A179" s="69">
        <v>4</v>
      </c>
      <c r="B179" s="138" t="s">
        <v>591</v>
      </c>
      <c r="C179" s="118">
        <v>1.5</v>
      </c>
      <c r="D179" s="118">
        <v>1.5</v>
      </c>
      <c r="E179" s="118">
        <v>1.5</v>
      </c>
      <c r="F179" s="118"/>
      <c r="G179" s="118">
        <f t="shared" si="9"/>
        <v>1.5</v>
      </c>
      <c r="H179" s="69"/>
    </row>
    <row r="180" spans="1:8" ht="16.5">
      <c r="A180" s="69">
        <v>5</v>
      </c>
      <c r="B180" s="138" t="s">
        <v>592</v>
      </c>
      <c r="C180" s="118">
        <v>1.6</v>
      </c>
      <c r="D180" s="118">
        <f>C180</f>
        <v>1.6</v>
      </c>
      <c r="E180" s="118">
        <f>C180</f>
        <v>1.6</v>
      </c>
      <c r="F180" s="118"/>
      <c r="G180" s="118">
        <f t="shared" si="9"/>
        <v>1.6</v>
      </c>
      <c r="H180" s="69"/>
    </row>
    <row r="181" spans="1:8" ht="16.5">
      <c r="A181" s="69">
        <v>6</v>
      </c>
      <c r="B181" s="136" t="s">
        <v>593</v>
      </c>
      <c r="C181" s="118">
        <v>0.5</v>
      </c>
      <c r="D181" s="118">
        <f aca="true" t="shared" si="10" ref="D181:D191">C181</f>
        <v>0.5</v>
      </c>
      <c r="E181" s="118">
        <f>C181</f>
        <v>0.5</v>
      </c>
      <c r="F181" s="118"/>
      <c r="G181" s="118">
        <f t="shared" si="9"/>
        <v>0.5</v>
      </c>
      <c r="H181" s="69"/>
    </row>
    <row r="182" spans="1:8" ht="16.5">
      <c r="A182" s="69">
        <v>7</v>
      </c>
      <c r="B182" s="136" t="s">
        <v>594</v>
      </c>
      <c r="C182" s="118">
        <v>2.5</v>
      </c>
      <c r="D182" s="118">
        <f t="shared" si="10"/>
        <v>2.5</v>
      </c>
      <c r="E182" s="118">
        <f>C182</f>
        <v>2.5</v>
      </c>
      <c r="F182" s="118"/>
      <c r="G182" s="118">
        <f t="shared" si="9"/>
        <v>2.5</v>
      </c>
      <c r="H182" s="69"/>
    </row>
    <row r="183" spans="1:8" ht="16.5">
      <c r="A183" s="69">
        <v>8</v>
      </c>
      <c r="B183" s="136" t="s">
        <v>595</v>
      </c>
      <c r="C183" s="118">
        <v>0.6</v>
      </c>
      <c r="D183" s="118">
        <f t="shared" si="10"/>
        <v>0.6</v>
      </c>
      <c r="E183" s="118">
        <f>C183</f>
        <v>0.6</v>
      </c>
      <c r="F183" s="118"/>
      <c r="G183" s="118">
        <f t="shared" si="9"/>
        <v>0.6</v>
      </c>
      <c r="H183" s="69"/>
    </row>
    <row r="184" spans="1:8" ht="16.5">
      <c r="A184" s="69">
        <v>9</v>
      </c>
      <c r="B184" s="138" t="s">
        <v>596</v>
      </c>
      <c r="C184" s="118">
        <v>1.5</v>
      </c>
      <c r="D184" s="118">
        <f t="shared" si="10"/>
        <v>1.5</v>
      </c>
      <c r="E184" s="118">
        <f>C184</f>
        <v>1.5</v>
      </c>
      <c r="F184" s="118"/>
      <c r="G184" s="118">
        <f t="shared" si="9"/>
        <v>1.5</v>
      </c>
      <c r="H184" s="69"/>
    </row>
    <row r="185" spans="1:8" ht="16.5">
      <c r="A185" s="69">
        <v>10</v>
      </c>
      <c r="B185" s="138" t="s">
        <v>377</v>
      </c>
      <c r="C185" s="118">
        <v>3.8</v>
      </c>
      <c r="D185" s="118">
        <f t="shared" si="10"/>
        <v>3.8</v>
      </c>
      <c r="E185" s="118">
        <v>2</v>
      </c>
      <c r="F185" s="118"/>
      <c r="G185" s="118">
        <f t="shared" si="9"/>
        <v>2</v>
      </c>
      <c r="H185" s="69"/>
    </row>
    <row r="186" spans="1:8" ht="16.5">
      <c r="A186" s="69">
        <v>11</v>
      </c>
      <c r="B186" s="138" t="s">
        <v>378</v>
      </c>
      <c r="C186" s="118">
        <v>1.2</v>
      </c>
      <c r="D186" s="118">
        <f t="shared" si="10"/>
        <v>1.2</v>
      </c>
      <c r="E186" s="118">
        <v>1.5</v>
      </c>
      <c r="F186" s="118"/>
      <c r="G186" s="118">
        <f t="shared" si="9"/>
        <v>1.5</v>
      </c>
      <c r="H186" s="69"/>
    </row>
    <row r="187" spans="1:8" ht="16.5">
      <c r="A187" s="69">
        <v>12</v>
      </c>
      <c r="B187" s="138" t="s">
        <v>588</v>
      </c>
      <c r="C187" s="118">
        <v>2.8</v>
      </c>
      <c r="D187" s="118">
        <f t="shared" si="10"/>
        <v>2.8</v>
      </c>
      <c r="E187" s="118">
        <v>2.5</v>
      </c>
      <c r="F187" s="118"/>
      <c r="G187" s="118">
        <f t="shared" si="9"/>
        <v>2.5</v>
      </c>
      <c r="H187" s="69"/>
    </row>
    <row r="188" spans="1:8" ht="16.5">
      <c r="A188" s="69">
        <v>13</v>
      </c>
      <c r="B188" s="138" t="s">
        <v>597</v>
      </c>
      <c r="C188" s="118">
        <v>2.8</v>
      </c>
      <c r="D188" s="118">
        <f t="shared" si="10"/>
        <v>2.8</v>
      </c>
      <c r="E188" s="118">
        <v>2</v>
      </c>
      <c r="F188" s="118"/>
      <c r="G188" s="118">
        <f t="shared" si="9"/>
        <v>2</v>
      </c>
      <c r="H188" s="69"/>
    </row>
    <row r="189" spans="1:8" ht="16.5">
      <c r="A189" s="69">
        <v>14</v>
      </c>
      <c r="B189" s="138" t="s">
        <v>598</v>
      </c>
      <c r="C189" s="118">
        <v>3.2</v>
      </c>
      <c r="D189" s="118">
        <f t="shared" si="10"/>
        <v>3.2</v>
      </c>
      <c r="E189" s="118">
        <v>2.7</v>
      </c>
      <c r="F189" s="118"/>
      <c r="G189" s="118">
        <f t="shared" si="9"/>
        <v>2.7</v>
      </c>
      <c r="H189" s="69"/>
    </row>
    <row r="190" spans="1:8" ht="16.5">
      <c r="A190" s="69">
        <v>15</v>
      </c>
      <c r="B190" s="138" t="s">
        <v>599</v>
      </c>
      <c r="C190" s="118">
        <v>1.2</v>
      </c>
      <c r="D190" s="118">
        <f t="shared" si="10"/>
        <v>1.2</v>
      </c>
      <c r="E190" s="118">
        <v>1</v>
      </c>
      <c r="F190" s="118">
        <v>1</v>
      </c>
      <c r="G190" s="118"/>
      <c r="H190" s="69"/>
    </row>
    <row r="191" spans="1:8" ht="16.5">
      <c r="A191" s="69">
        <v>16</v>
      </c>
      <c r="B191" s="138" t="s">
        <v>600</v>
      </c>
      <c r="C191" s="118">
        <v>0.8</v>
      </c>
      <c r="D191" s="118">
        <f t="shared" si="10"/>
        <v>0.8</v>
      </c>
      <c r="E191" s="118">
        <v>0.6</v>
      </c>
      <c r="F191" s="118"/>
      <c r="G191" s="118">
        <v>0.6</v>
      </c>
      <c r="H191" s="69"/>
    </row>
    <row r="192" spans="1:8" ht="16.5">
      <c r="A192" s="216" t="s">
        <v>330</v>
      </c>
      <c r="B192" s="216"/>
      <c r="C192" s="119">
        <f>SUM(C176:C191)</f>
        <v>26.9</v>
      </c>
      <c r="D192" s="119">
        <f>SUM(D176:D191)</f>
        <v>26.9</v>
      </c>
      <c r="E192" s="119">
        <f>SUM(E176:E191)</f>
        <v>23.2</v>
      </c>
      <c r="F192" s="119">
        <f>SUM(F176:F191)</f>
        <v>1</v>
      </c>
      <c r="G192" s="119">
        <f>SUM(G176:G191)</f>
        <v>22.2</v>
      </c>
      <c r="H192" s="120"/>
    </row>
    <row r="193" spans="1:8" ht="16.5">
      <c r="A193" s="216" t="s">
        <v>365</v>
      </c>
      <c r="B193" s="216"/>
      <c r="C193" s="119"/>
      <c r="D193" s="119"/>
      <c r="E193" s="119">
        <f>E192/C192*100</f>
        <v>86.2453531598513</v>
      </c>
      <c r="F193" s="119"/>
      <c r="G193" s="119"/>
      <c r="H193" s="69"/>
    </row>
    <row r="194" spans="1:8" ht="16.5">
      <c r="A194" s="117" t="s">
        <v>396</v>
      </c>
      <c r="B194" s="228" t="s">
        <v>379</v>
      </c>
      <c r="C194" s="228"/>
      <c r="D194" s="228"/>
      <c r="E194" s="228"/>
      <c r="F194" s="228"/>
      <c r="G194" s="228"/>
      <c r="H194" s="228"/>
    </row>
    <row r="195" spans="1:8" ht="16.5">
      <c r="A195" s="69">
        <v>1</v>
      </c>
      <c r="B195" s="71" t="s">
        <v>380</v>
      </c>
      <c r="C195" s="139">
        <v>3.02</v>
      </c>
      <c r="D195" s="139">
        <v>3.02</v>
      </c>
      <c r="E195" s="139">
        <v>3.02</v>
      </c>
      <c r="F195" s="118"/>
      <c r="G195" s="139">
        <v>3.02</v>
      </c>
      <c r="H195" s="69"/>
    </row>
    <row r="196" spans="1:8" ht="16.5">
      <c r="A196" s="69">
        <v>2</v>
      </c>
      <c r="B196" s="71" t="s">
        <v>381</v>
      </c>
      <c r="C196" s="118">
        <v>2.13</v>
      </c>
      <c r="D196" s="118">
        <v>2.13</v>
      </c>
      <c r="E196" s="118">
        <v>2.13</v>
      </c>
      <c r="F196" s="118"/>
      <c r="G196" s="118">
        <v>2.13</v>
      </c>
      <c r="H196" s="69"/>
    </row>
    <row r="197" spans="1:8" ht="16.5">
      <c r="A197" s="69">
        <v>3</v>
      </c>
      <c r="B197" s="71" t="s">
        <v>382</v>
      </c>
      <c r="C197" s="118">
        <v>3.64</v>
      </c>
      <c r="D197" s="118">
        <f>C197</f>
        <v>3.64</v>
      </c>
      <c r="E197" s="118"/>
      <c r="F197" s="118"/>
      <c r="G197" s="118"/>
      <c r="H197" s="69"/>
    </row>
    <row r="198" spans="1:8" ht="16.5">
      <c r="A198" s="69">
        <v>4</v>
      </c>
      <c r="B198" s="71" t="s">
        <v>383</v>
      </c>
      <c r="C198" s="118">
        <v>1.42</v>
      </c>
      <c r="D198" s="118">
        <f>C198</f>
        <v>1.42</v>
      </c>
      <c r="E198" s="118"/>
      <c r="F198" s="118"/>
      <c r="G198" s="118"/>
      <c r="H198" s="69"/>
    </row>
    <row r="199" spans="1:8" ht="16.5">
      <c r="A199" s="69">
        <v>5</v>
      </c>
      <c r="B199" s="71" t="s">
        <v>384</v>
      </c>
      <c r="C199" s="118">
        <v>2.34</v>
      </c>
      <c r="D199" s="118">
        <v>2.34</v>
      </c>
      <c r="E199" s="118">
        <v>2.34</v>
      </c>
      <c r="F199" s="118"/>
      <c r="G199" s="118">
        <v>2.34</v>
      </c>
      <c r="H199" s="69"/>
    </row>
    <row r="200" spans="1:8" ht="33">
      <c r="A200" s="69">
        <v>6</v>
      </c>
      <c r="B200" s="71" t="s">
        <v>385</v>
      </c>
      <c r="C200" s="118">
        <v>2.11</v>
      </c>
      <c r="D200" s="118">
        <v>2.11</v>
      </c>
      <c r="E200" s="118">
        <v>2.11</v>
      </c>
      <c r="F200" s="118"/>
      <c r="G200" s="118">
        <v>2.11</v>
      </c>
      <c r="H200" s="69"/>
    </row>
    <row r="201" spans="1:8" ht="16.5">
      <c r="A201" s="69">
        <v>7</v>
      </c>
      <c r="B201" s="71" t="s">
        <v>386</v>
      </c>
      <c r="C201" s="118">
        <v>0.8</v>
      </c>
      <c r="D201" s="118">
        <v>0.8</v>
      </c>
      <c r="E201" s="118">
        <v>0.8</v>
      </c>
      <c r="F201" s="118"/>
      <c r="G201" s="118">
        <v>0.8</v>
      </c>
      <c r="H201" s="69"/>
    </row>
    <row r="202" spans="1:8" ht="16.5">
      <c r="A202" s="69">
        <v>8</v>
      </c>
      <c r="B202" s="71" t="s">
        <v>387</v>
      </c>
      <c r="C202" s="140">
        <v>0.985</v>
      </c>
      <c r="D202" s="140">
        <v>0.985</v>
      </c>
      <c r="E202" s="118"/>
      <c r="F202" s="118"/>
      <c r="G202" s="118"/>
      <c r="H202" s="69"/>
    </row>
    <row r="203" spans="1:8" ht="16.5">
      <c r="A203" s="69">
        <v>9</v>
      </c>
      <c r="B203" s="71" t="s">
        <v>388</v>
      </c>
      <c r="C203" s="118">
        <v>1.075</v>
      </c>
      <c r="D203" s="118">
        <v>1.075</v>
      </c>
      <c r="E203" s="118">
        <f>D203</f>
        <v>1.075</v>
      </c>
      <c r="F203" s="118"/>
      <c r="G203" s="118">
        <f>E203</f>
        <v>1.075</v>
      </c>
      <c r="H203" s="69"/>
    </row>
    <row r="204" spans="1:8" ht="16.5">
      <c r="A204" s="69">
        <v>10</v>
      </c>
      <c r="B204" s="71" t="s">
        <v>389</v>
      </c>
      <c r="C204" s="118">
        <v>0.74</v>
      </c>
      <c r="D204" s="118">
        <f>C204</f>
        <v>0.74</v>
      </c>
      <c r="E204" s="118"/>
      <c r="F204" s="118"/>
      <c r="G204" s="118"/>
      <c r="H204" s="69"/>
    </row>
    <row r="205" spans="1:8" ht="16.5">
      <c r="A205" s="216" t="s">
        <v>330</v>
      </c>
      <c r="B205" s="216"/>
      <c r="C205" s="141">
        <f>SUM(C195:C204)</f>
        <v>18.259999999999998</v>
      </c>
      <c r="D205" s="141">
        <f>SUM(D195:D204)</f>
        <v>18.259999999999998</v>
      </c>
      <c r="E205" s="141">
        <f>SUM(E195:E204)</f>
        <v>11.475</v>
      </c>
      <c r="F205" s="141"/>
      <c r="G205" s="141">
        <f>SUM(G195:G204)</f>
        <v>11.475</v>
      </c>
      <c r="H205" s="69"/>
    </row>
    <row r="206" spans="1:8" ht="16.5">
      <c r="A206" s="216" t="s">
        <v>365</v>
      </c>
      <c r="B206" s="216"/>
      <c r="C206" s="141"/>
      <c r="D206" s="119"/>
      <c r="E206" s="119">
        <f>E205/C205*100</f>
        <v>62.84227820372399</v>
      </c>
      <c r="F206" s="119"/>
      <c r="G206" s="119"/>
      <c r="H206" s="69"/>
    </row>
    <row r="207" spans="1:8" ht="16.5">
      <c r="A207" s="117" t="s">
        <v>2</v>
      </c>
      <c r="B207" s="228" t="s">
        <v>390</v>
      </c>
      <c r="C207" s="228"/>
      <c r="D207" s="228"/>
      <c r="E207" s="228"/>
      <c r="F207" s="228"/>
      <c r="G207" s="228"/>
      <c r="H207" s="228"/>
    </row>
    <row r="208" spans="1:8" ht="16.5">
      <c r="A208" s="130">
        <v>1</v>
      </c>
      <c r="B208" s="136" t="s">
        <v>693</v>
      </c>
      <c r="C208" s="118">
        <v>2.5</v>
      </c>
      <c r="D208" s="118">
        <f>C208</f>
        <v>2.5</v>
      </c>
      <c r="E208" s="118">
        <v>1.5</v>
      </c>
      <c r="F208" s="118"/>
      <c r="G208" s="118">
        <f>E208</f>
        <v>1.5</v>
      </c>
      <c r="H208" s="130"/>
    </row>
    <row r="209" spans="1:8" ht="16.5">
      <c r="A209" s="130">
        <v>2</v>
      </c>
      <c r="B209" s="136" t="s">
        <v>391</v>
      </c>
      <c r="C209" s="118">
        <v>2.6</v>
      </c>
      <c r="D209" s="118">
        <f>C209</f>
        <v>2.6</v>
      </c>
      <c r="E209" s="118">
        <v>1.6</v>
      </c>
      <c r="F209" s="118"/>
      <c r="G209" s="118">
        <f>E209</f>
        <v>1.6</v>
      </c>
      <c r="H209" s="130"/>
    </row>
    <row r="210" spans="1:8" ht="16.5">
      <c r="A210" s="130">
        <v>3</v>
      </c>
      <c r="B210" s="136" t="s">
        <v>392</v>
      </c>
      <c r="C210" s="118">
        <v>3.3</v>
      </c>
      <c r="D210" s="118">
        <f>C210</f>
        <v>3.3</v>
      </c>
      <c r="E210" s="118">
        <v>2.3</v>
      </c>
      <c r="F210" s="118"/>
      <c r="G210" s="118">
        <f>E210</f>
        <v>2.3</v>
      </c>
      <c r="H210" s="130"/>
    </row>
    <row r="211" spans="1:8" ht="16.5">
      <c r="A211" s="130">
        <v>4</v>
      </c>
      <c r="B211" s="136" t="s">
        <v>393</v>
      </c>
      <c r="C211" s="118">
        <v>2.1</v>
      </c>
      <c r="D211" s="118">
        <f>C211</f>
        <v>2.1</v>
      </c>
      <c r="E211" s="118">
        <v>1.4</v>
      </c>
      <c r="F211" s="118"/>
      <c r="G211" s="118">
        <f>E211</f>
        <v>1.4</v>
      </c>
      <c r="H211" s="130"/>
    </row>
    <row r="212" spans="1:8" s="18" customFormat="1" ht="16.5">
      <c r="A212" s="216" t="s">
        <v>330</v>
      </c>
      <c r="B212" s="216"/>
      <c r="C212" s="119">
        <f>C208+C209+C210+C211</f>
        <v>10.499999999999998</v>
      </c>
      <c r="D212" s="119">
        <f>D208+D209+D210+D211</f>
        <v>10.499999999999998</v>
      </c>
      <c r="E212" s="119">
        <f>E208+E209+E210+E211</f>
        <v>6.800000000000001</v>
      </c>
      <c r="F212" s="119"/>
      <c r="G212" s="119">
        <f>G208+G209+G210+G211</f>
        <v>6.800000000000001</v>
      </c>
      <c r="H212" s="137"/>
    </row>
    <row r="213" spans="1:8" s="18" customFormat="1" ht="16.5">
      <c r="A213" s="216" t="s">
        <v>365</v>
      </c>
      <c r="B213" s="216"/>
      <c r="C213" s="119"/>
      <c r="D213" s="119"/>
      <c r="E213" s="119">
        <f>E212/C212*100</f>
        <v>64.76190476190477</v>
      </c>
      <c r="F213" s="119"/>
      <c r="G213" s="119"/>
      <c r="H213" s="137"/>
    </row>
    <row r="214" spans="1:8" s="18" customFormat="1" ht="16.5">
      <c r="A214" s="228" t="s">
        <v>694</v>
      </c>
      <c r="B214" s="228"/>
      <c r="C214" s="142">
        <f>C212+C205+C192+C173+C153+C130+C94+C49+C20</f>
        <v>276.558</v>
      </c>
      <c r="D214" s="142">
        <f>D212+D205+D192+D173+D153+D130+D94+D49+D20</f>
        <v>276.558</v>
      </c>
      <c r="E214" s="142">
        <f>E212+E205+E192+E173+E153+E130+E94+E49+E20</f>
        <v>216.55599999999998</v>
      </c>
      <c r="F214" s="142">
        <f>F212+F205+F192+F173+F153+F130+F94+F49+F20</f>
        <v>15.575</v>
      </c>
      <c r="G214" s="142">
        <f>G212+G205+G192+G173+G153+G130+G94+G49+G20</f>
        <v>200.981</v>
      </c>
      <c r="H214" s="117"/>
    </row>
    <row r="215" spans="1:8" s="18" customFormat="1" ht="16.5">
      <c r="A215" s="228" t="s">
        <v>365</v>
      </c>
      <c r="B215" s="228"/>
      <c r="C215" s="129"/>
      <c r="D215" s="129"/>
      <c r="E215" s="142">
        <f>E214/C214*100</f>
        <v>78.3040085623992</v>
      </c>
      <c r="F215" s="129"/>
      <c r="G215" s="129"/>
      <c r="H215" s="117"/>
    </row>
    <row r="218" ht="16.5">
      <c r="F218" s="59"/>
    </row>
    <row r="219" ht="16.5">
      <c r="H219" s="58"/>
    </row>
    <row r="221" ht="16.5">
      <c r="F221" s="59"/>
    </row>
  </sheetData>
  <sheetProtection/>
  <mergeCells count="38">
    <mergeCell ref="A49:B49"/>
    <mergeCell ref="A50:B50"/>
    <mergeCell ref="A213:B213"/>
    <mergeCell ref="A214:B214"/>
    <mergeCell ref="A94:B94"/>
    <mergeCell ref="A95:B95"/>
    <mergeCell ref="A130:B130"/>
    <mergeCell ref="A131:B131"/>
    <mergeCell ref="A215:B215"/>
    <mergeCell ref="B207:H207"/>
    <mergeCell ref="A174:B174"/>
    <mergeCell ref="A192:B192"/>
    <mergeCell ref="A193:B193"/>
    <mergeCell ref="A205:B205"/>
    <mergeCell ref="B175:H175"/>
    <mergeCell ref="B194:H194"/>
    <mergeCell ref="A206:B206"/>
    <mergeCell ref="A212:B212"/>
    <mergeCell ref="A153:B153"/>
    <mergeCell ref="A154:B154"/>
    <mergeCell ref="A173:B173"/>
    <mergeCell ref="B96:H96"/>
    <mergeCell ref="B6:H6"/>
    <mergeCell ref="E4:E5"/>
    <mergeCell ref="F4:G4"/>
    <mergeCell ref="D4:D5"/>
    <mergeCell ref="H4:H5"/>
    <mergeCell ref="B155:H155"/>
    <mergeCell ref="B1:H1"/>
    <mergeCell ref="C4:C5"/>
    <mergeCell ref="B22:H22"/>
    <mergeCell ref="B51:H51"/>
    <mergeCell ref="A20:B20"/>
    <mergeCell ref="A21:B21"/>
    <mergeCell ref="A2:H2"/>
    <mergeCell ref="A4:A5"/>
    <mergeCell ref="B4:B5"/>
    <mergeCell ref="A3:H3"/>
  </mergeCells>
  <printOptions horizontalCentered="1"/>
  <pageMargins left="0.236220472440945" right="0.0393700787401575" top="0.15748031496063" bottom="0" header="0.236220472440945"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9"/>
  <dimension ref="A1:L36"/>
  <sheetViews>
    <sheetView zoomScalePageLayoutView="0" workbookViewId="0" topLeftCell="A1">
      <selection activeCell="A2" sqref="A2:F2"/>
    </sheetView>
  </sheetViews>
  <sheetFormatPr defaultColWidth="8.8515625" defaultRowHeight="12.75"/>
  <cols>
    <col min="1" max="1" width="5.00390625" style="51" customWidth="1"/>
    <col min="2" max="2" width="15.7109375" style="9" customWidth="1"/>
    <col min="3" max="3" width="50.7109375" style="9" customWidth="1"/>
    <col min="4" max="4" width="12.00390625" style="19" customWidth="1"/>
    <col min="5" max="5" width="11.28125" style="9" customWidth="1"/>
    <col min="6" max="6" width="50.28125" style="9" customWidth="1"/>
    <col min="7" max="16384" width="8.8515625" style="9" customWidth="1"/>
  </cols>
  <sheetData>
    <row r="1" spans="1:6" ht="16.5">
      <c r="A1" s="211" t="s">
        <v>484</v>
      </c>
      <c r="B1" s="211"/>
      <c r="C1" s="211"/>
      <c r="D1" s="211"/>
      <c r="E1" s="211"/>
      <c r="F1" s="211"/>
    </row>
    <row r="2" spans="1:6" ht="16.5">
      <c r="A2" s="212" t="s">
        <v>761</v>
      </c>
      <c r="B2" s="212"/>
      <c r="C2" s="212"/>
      <c r="D2" s="212"/>
      <c r="E2" s="212"/>
      <c r="F2" s="212"/>
    </row>
    <row r="3" spans="1:6" ht="16.5">
      <c r="A3" s="18"/>
      <c r="B3" s="18"/>
      <c r="C3" s="18"/>
      <c r="D3" s="18"/>
      <c r="E3" s="18"/>
      <c r="F3" s="18"/>
    </row>
    <row r="4" spans="1:6" s="15" customFormat="1" ht="36.75" customHeight="1">
      <c r="A4" s="8" t="s">
        <v>11</v>
      </c>
      <c r="B4" s="8" t="s">
        <v>126</v>
      </c>
      <c r="C4" s="8" t="s">
        <v>127</v>
      </c>
      <c r="D4" s="8" t="s">
        <v>69</v>
      </c>
      <c r="E4" s="8" t="s">
        <v>1</v>
      </c>
      <c r="F4" s="8" t="s">
        <v>125</v>
      </c>
    </row>
    <row r="5" spans="1:12" ht="49.5">
      <c r="A5" s="69">
        <v>1</v>
      </c>
      <c r="B5" s="69" t="s">
        <v>128</v>
      </c>
      <c r="C5" s="138" t="s">
        <v>174</v>
      </c>
      <c r="D5" s="69" t="s">
        <v>777</v>
      </c>
      <c r="E5" s="143">
        <f>5679+853.5+286+3616+4472+21008+1210+1064+1500</f>
        <v>39688.5</v>
      </c>
      <c r="F5" s="138" t="s">
        <v>781</v>
      </c>
      <c r="J5" s="51"/>
      <c r="L5" s="3"/>
    </row>
    <row r="6" spans="1:12" ht="49.5">
      <c r="A6" s="233">
        <v>2</v>
      </c>
      <c r="B6" s="233" t="s">
        <v>129</v>
      </c>
      <c r="C6" s="138" t="s">
        <v>130</v>
      </c>
      <c r="D6" s="69" t="s">
        <v>131</v>
      </c>
      <c r="E6" s="72">
        <f>180+200+150+200+120+180+70+150+200</f>
        <v>1450</v>
      </c>
      <c r="F6" s="138" t="s">
        <v>515</v>
      </c>
      <c r="H6" s="11"/>
      <c r="I6" s="11"/>
      <c r="J6" s="11"/>
      <c r="K6" s="11"/>
      <c r="L6" s="11"/>
    </row>
    <row r="7" spans="1:6" ht="49.5">
      <c r="A7" s="233"/>
      <c r="B7" s="233"/>
      <c r="C7" s="138" t="s">
        <v>780</v>
      </c>
      <c r="D7" s="69" t="s">
        <v>70</v>
      </c>
      <c r="E7" s="69">
        <v>9</v>
      </c>
      <c r="F7" s="138" t="s">
        <v>516</v>
      </c>
    </row>
    <row r="8" spans="1:6" ht="66">
      <c r="A8" s="233"/>
      <c r="B8" s="233"/>
      <c r="C8" s="138" t="s">
        <v>173</v>
      </c>
      <c r="D8" s="69" t="s">
        <v>777</v>
      </c>
      <c r="E8" s="72">
        <f>4000+6000+5400+5525+1500+4000+5000+6000+6000</f>
        <v>43425</v>
      </c>
      <c r="F8" s="138" t="s">
        <v>517</v>
      </c>
    </row>
    <row r="9" spans="1:6" ht="41.25" customHeight="1">
      <c r="A9" s="233"/>
      <c r="B9" s="233"/>
      <c r="C9" s="138" t="s">
        <v>132</v>
      </c>
      <c r="D9" s="69"/>
      <c r="E9" s="69"/>
      <c r="F9" s="138"/>
    </row>
    <row r="10" spans="1:6" ht="57" customHeight="1">
      <c r="A10" s="233"/>
      <c r="B10" s="233"/>
      <c r="C10" s="138" t="s">
        <v>133</v>
      </c>
      <c r="D10" s="69" t="s">
        <v>134</v>
      </c>
      <c r="E10" s="69">
        <v>7</v>
      </c>
      <c r="F10" s="138" t="s">
        <v>518</v>
      </c>
    </row>
    <row r="11" spans="1:6" ht="62.25" customHeight="1">
      <c r="A11" s="233"/>
      <c r="B11" s="233"/>
      <c r="C11" s="138" t="s">
        <v>135</v>
      </c>
      <c r="D11" s="69" t="s">
        <v>136</v>
      </c>
      <c r="E11" s="69">
        <v>9</v>
      </c>
      <c r="F11" s="138" t="s">
        <v>478</v>
      </c>
    </row>
    <row r="12" spans="1:6" ht="62.25" customHeight="1">
      <c r="A12" s="233"/>
      <c r="B12" s="233"/>
      <c r="C12" s="138" t="s">
        <v>137</v>
      </c>
      <c r="D12" s="69" t="s">
        <v>777</v>
      </c>
      <c r="E12" s="69">
        <f>180+0+0+1+675+300+100+150+100</f>
        <v>1506</v>
      </c>
      <c r="F12" s="138" t="s">
        <v>519</v>
      </c>
    </row>
    <row r="13" spans="1:6" ht="56.25" customHeight="1">
      <c r="A13" s="233">
        <v>3</v>
      </c>
      <c r="B13" s="233" t="s">
        <v>138</v>
      </c>
      <c r="C13" s="138" t="s">
        <v>139</v>
      </c>
      <c r="D13" s="69"/>
      <c r="E13" s="69"/>
      <c r="F13" s="138"/>
    </row>
    <row r="14" spans="1:6" ht="49.5">
      <c r="A14" s="233"/>
      <c r="B14" s="233"/>
      <c r="C14" s="138" t="s">
        <v>140</v>
      </c>
      <c r="D14" s="69" t="s">
        <v>141</v>
      </c>
      <c r="E14" s="69">
        <f>30+200+16+100+15+30+100+100+13</f>
        <v>604</v>
      </c>
      <c r="F14" s="138" t="s">
        <v>520</v>
      </c>
    </row>
    <row r="15" spans="1:6" ht="49.5">
      <c r="A15" s="233"/>
      <c r="B15" s="233"/>
      <c r="C15" s="138" t="s">
        <v>142</v>
      </c>
      <c r="D15" s="69" t="s">
        <v>141</v>
      </c>
      <c r="E15" s="69">
        <v>13</v>
      </c>
      <c r="F15" s="138" t="s">
        <v>521</v>
      </c>
    </row>
    <row r="16" spans="1:6" ht="49.5">
      <c r="A16" s="233"/>
      <c r="B16" s="233"/>
      <c r="C16" s="138" t="s">
        <v>143</v>
      </c>
      <c r="D16" s="69" t="s">
        <v>141</v>
      </c>
      <c r="E16" s="69">
        <v>13</v>
      </c>
      <c r="F16" s="138" t="s">
        <v>522</v>
      </c>
    </row>
    <row r="17" spans="1:6" ht="49.5">
      <c r="A17" s="233"/>
      <c r="B17" s="233"/>
      <c r="C17" s="138" t="s">
        <v>144</v>
      </c>
      <c r="D17" s="69" t="s">
        <v>141</v>
      </c>
      <c r="E17" s="69">
        <v>9</v>
      </c>
      <c r="F17" s="138" t="s">
        <v>478</v>
      </c>
    </row>
    <row r="18" spans="1:6" ht="49.5">
      <c r="A18" s="233"/>
      <c r="B18" s="233"/>
      <c r="C18" s="138" t="s">
        <v>778</v>
      </c>
      <c r="D18" s="69" t="s">
        <v>169</v>
      </c>
      <c r="E18" s="69" t="s">
        <v>238</v>
      </c>
      <c r="F18" s="69" t="s">
        <v>334</v>
      </c>
    </row>
    <row r="19" spans="1:6" ht="49.5">
      <c r="A19" s="233">
        <v>4</v>
      </c>
      <c r="B19" s="233" t="s">
        <v>145</v>
      </c>
      <c r="C19" s="138" t="s">
        <v>146</v>
      </c>
      <c r="D19" s="69" t="s">
        <v>170</v>
      </c>
      <c r="E19" s="69" t="s">
        <v>237</v>
      </c>
      <c r="F19" s="69" t="s">
        <v>334</v>
      </c>
    </row>
    <row r="20" spans="1:6" ht="49.5">
      <c r="A20" s="233"/>
      <c r="B20" s="233"/>
      <c r="C20" s="138" t="s">
        <v>291</v>
      </c>
      <c r="D20" s="69" t="s">
        <v>170</v>
      </c>
      <c r="E20" s="69" t="s">
        <v>237</v>
      </c>
      <c r="F20" s="69" t="s">
        <v>334</v>
      </c>
    </row>
    <row r="21" spans="1:6" ht="49.5">
      <c r="A21" s="233">
        <v>5</v>
      </c>
      <c r="B21" s="233" t="s">
        <v>147</v>
      </c>
      <c r="C21" s="138" t="s">
        <v>148</v>
      </c>
      <c r="D21" s="69" t="s">
        <v>149</v>
      </c>
      <c r="E21" s="69">
        <f>90+15+55+10+35+35+8+30+35</f>
        <v>313</v>
      </c>
      <c r="F21" s="138" t="s">
        <v>523</v>
      </c>
    </row>
    <row r="22" spans="1:6" ht="53.25" customHeight="1">
      <c r="A22" s="233"/>
      <c r="B22" s="233"/>
      <c r="C22" s="138" t="s">
        <v>782</v>
      </c>
      <c r="D22" s="69" t="s">
        <v>149</v>
      </c>
      <c r="E22" s="69">
        <f>0+2.4+11.5+12+0+12+7.5+15+17</f>
        <v>77.4</v>
      </c>
      <c r="F22" s="138" t="s">
        <v>524</v>
      </c>
    </row>
    <row r="23" spans="1:6" ht="65.25" customHeight="1">
      <c r="A23" s="233">
        <v>6</v>
      </c>
      <c r="B23" s="233" t="s">
        <v>150</v>
      </c>
      <c r="C23" s="138" t="s">
        <v>151</v>
      </c>
      <c r="D23" s="69" t="s">
        <v>152</v>
      </c>
      <c r="E23" s="69">
        <f>72+25+14+24+1+19+3+22+15</f>
        <v>195</v>
      </c>
      <c r="F23" s="138" t="s">
        <v>525</v>
      </c>
    </row>
    <row r="24" spans="1:6" ht="66.75" customHeight="1">
      <c r="A24" s="233"/>
      <c r="B24" s="233"/>
      <c r="C24" s="138" t="s">
        <v>153</v>
      </c>
      <c r="D24" s="69" t="s">
        <v>152</v>
      </c>
      <c r="E24" s="69">
        <f>6+2+1+10+2+2+4+7+3</f>
        <v>37</v>
      </c>
      <c r="F24" s="138" t="s">
        <v>526</v>
      </c>
    </row>
    <row r="25" spans="1:6" ht="65.25" customHeight="1">
      <c r="A25" s="233"/>
      <c r="B25" s="233"/>
      <c r="C25" s="138" t="s">
        <v>154</v>
      </c>
      <c r="D25" s="69" t="s">
        <v>155</v>
      </c>
      <c r="E25" s="69">
        <f>3+5+2+4+3+0+8+3+0</f>
        <v>28</v>
      </c>
      <c r="F25" s="138" t="s">
        <v>527</v>
      </c>
    </row>
    <row r="26" spans="1:6" ht="56.25" customHeight="1">
      <c r="A26" s="233"/>
      <c r="B26" s="233"/>
      <c r="C26" s="138" t="s">
        <v>156</v>
      </c>
      <c r="D26" s="69" t="s">
        <v>171</v>
      </c>
      <c r="E26" s="69" t="s">
        <v>320</v>
      </c>
      <c r="F26" s="69" t="s">
        <v>334</v>
      </c>
    </row>
    <row r="27" spans="1:6" ht="59.25" customHeight="1">
      <c r="A27" s="233"/>
      <c r="B27" s="233"/>
      <c r="C27" s="138" t="s">
        <v>157</v>
      </c>
      <c r="D27" s="69" t="s">
        <v>171</v>
      </c>
      <c r="E27" s="69" t="s">
        <v>320</v>
      </c>
      <c r="F27" s="69" t="s">
        <v>334</v>
      </c>
    </row>
    <row r="28" spans="1:6" ht="57.75" customHeight="1">
      <c r="A28" s="233"/>
      <c r="B28" s="233"/>
      <c r="C28" s="138" t="s">
        <v>158</v>
      </c>
      <c r="D28" s="69" t="s">
        <v>397</v>
      </c>
      <c r="E28" s="79"/>
      <c r="F28" s="138"/>
    </row>
    <row r="29" spans="1:6" ht="73.5" customHeight="1">
      <c r="A29" s="233"/>
      <c r="B29" s="233"/>
      <c r="C29" s="138" t="s">
        <v>159</v>
      </c>
      <c r="D29" s="69" t="s">
        <v>74</v>
      </c>
      <c r="E29" s="72">
        <f>10259+7255+7323+5989+3765+1699+1598+3097+1685</f>
        <v>42670</v>
      </c>
      <c r="F29" s="138" t="s">
        <v>528</v>
      </c>
    </row>
    <row r="30" spans="1:6" ht="61.5" customHeight="1">
      <c r="A30" s="233"/>
      <c r="B30" s="233"/>
      <c r="C30" s="138" t="s">
        <v>160</v>
      </c>
      <c r="D30" s="69" t="s">
        <v>74</v>
      </c>
      <c r="E30" s="72">
        <f>4628+5866+850+1167+66+1060+559+520+481</f>
        <v>15197</v>
      </c>
      <c r="F30" s="138" t="s">
        <v>779</v>
      </c>
    </row>
    <row r="31" spans="1:6" ht="57" customHeight="1">
      <c r="A31" s="233">
        <v>7</v>
      </c>
      <c r="B31" s="233" t="s">
        <v>161</v>
      </c>
      <c r="C31" s="138" t="s">
        <v>162</v>
      </c>
      <c r="D31" s="69" t="s">
        <v>152</v>
      </c>
      <c r="E31" s="72">
        <f>10+20+5+50+6+10+2+21+5</f>
        <v>129</v>
      </c>
      <c r="F31" s="138" t="s">
        <v>529</v>
      </c>
    </row>
    <row r="32" spans="1:6" ht="54" customHeight="1">
      <c r="A32" s="233"/>
      <c r="B32" s="233"/>
      <c r="C32" s="138" t="s">
        <v>163</v>
      </c>
      <c r="D32" s="69" t="s">
        <v>397</v>
      </c>
      <c r="E32" s="72"/>
      <c r="F32" s="138"/>
    </row>
    <row r="33" spans="1:6" ht="66">
      <c r="A33" s="233"/>
      <c r="B33" s="233"/>
      <c r="C33" s="138" t="s">
        <v>159</v>
      </c>
      <c r="D33" s="69" t="s">
        <v>8</v>
      </c>
      <c r="E33" s="72">
        <f>10259+7255+7323+5989+3765+1699+1598+3097+1685</f>
        <v>42670</v>
      </c>
      <c r="F33" s="138" t="s">
        <v>528</v>
      </c>
    </row>
    <row r="34" spans="1:6" ht="66">
      <c r="A34" s="233"/>
      <c r="B34" s="233"/>
      <c r="C34" s="138" t="s">
        <v>164</v>
      </c>
      <c r="D34" s="69" t="s">
        <v>8</v>
      </c>
      <c r="E34" s="72">
        <f>3859+200+2150+1826+215+350+319+276+505</f>
        <v>9700</v>
      </c>
      <c r="F34" s="138" t="s">
        <v>530</v>
      </c>
    </row>
    <row r="35" spans="1:6" ht="66">
      <c r="A35" s="69">
        <v>8</v>
      </c>
      <c r="B35" s="69" t="s">
        <v>165</v>
      </c>
      <c r="C35" s="138" t="s">
        <v>166</v>
      </c>
      <c r="D35" s="69" t="s">
        <v>67</v>
      </c>
      <c r="E35" s="120">
        <f>(71+100+65+70.5+1.6+75+70+80+60.5)/9</f>
        <v>65.95555555555556</v>
      </c>
      <c r="F35" s="138" t="s">
        <v>531</v>
      </c>
    </row>
    <row r="36" spans="1:6" ht="58.5" customHeight="1">
      <c r="A36" s="69">
        <v>9</v>
      </c>
      <c r="B36" s="69" t="s">
        <v>167</v>
      </c>
      <c r="C36" s="138" t="s">
        <v>168</v>
      </c>
      <c r="D36" s="69" t="s">
        <v>67</v>
      </c>
      <c r="E36" s="120">
        <f>(100+100+100+100+32+70+100+100+100)/9</f>
        <v>89.11111111111111</v>
      </c>
      <c r="F36" s="138" t="s">
        <v>532</v>
      </c>
    </row>
  </sheetData>
  <sheetProtection/>
  <mergeCells count="14">
    <mergeCell ref="A1:F1"/>
    <mergeCell ref="A19:A20"/>
    <mergeCell ref="B19:B20"/>
    <mergeCell ref="A13:A18"/>
    <mergeCell ref="B6:B12"/>
    <mergeCell ref="A6:A12"/>
    <mergeCell ref="A2:F2"/>
    <mergeCell ref="B31:B34"/>
    <mergeCell ref="B21:B22"/>
    <mergeCell ref="A31:A34"/>
    <mergeCell ref="A23:A30"/>
    <mergeCell ref="A21:A22"/>
    <mergeCell ref="B13:B18"/>
    <mergeCell ref="B23:B30"/>
  </mergeCells>
  <printOptions/>
  <pageMargins left="0.25" right="0" top="0.25" bottom="0.25"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40"/>
  <sheetViews>
    <sheetView zoomScalePageLayoutView="0" workbookViewId="0" topLeftCell="A1">
      <selection activeCell="A2" sqref="A2:E2"/>
    </sheetView>
  </sheetViews>
  <sheetFormatPr defaultColWidth="9.140625" defaultRowHeight="12.75"/>
  <cols>
    <col min="1" max="1" width="5.00390625" style="26" bestFit="1" customWidth="1"/>
    <col min="2" max="2" width="47.57421875" style="26" customWidth="1"/>
    <col min="3" max="3" width="14.8515625" style="26" customWidth="1"/>
    <col min="4" max="4" width="11.7109375" style="26" customWidth="1"/>
    <col min="5" max="5" width="67.00390625" style="26" customWidth="1"/>
    <col min="6" max="8" width="9.140625" style="26" customWidth="1"/>
    <col min="9" max="10" width="14.8515625" style="26" bestFit="1" customWidth="1"/>
    <col min="11" max="16384" width="9.140625" style="26" customWidth="1"/>
  </cols>
  <sheetData>
    <row r="1" spans="1:5" ht="20.25" customHeight="1">
      <c r="A1" s="234" t="s">
        <v>398</v>
      </c>
      <c r="B1" s="234"/>
      <c r="C1" s="234"/>
      <c r="D1" s="234"/>
      <c r="E1" s="234"/>
    </row>
    <row r="2" spans="1:5" ht="20.25" customHeight="1">
      <c r="A2" s="235" t="s">
        <v>761</v>
      </c>
      <c r="B2" s="235"/>
      <c r="C2" s="235"/>
      <c r="D2" s="235"/>
      <c r="E2" s="235"/>
    </row>
    <row r="3" spans="1:5" ht="16.5">
      <c r="A3" s="25"/>
      <c r="B3" s="25"/>
      <c r="C3" s="25"/>
      <c r="D3" s="25"/>
      <c r="E3" s="25"/>
    </row>
    <row r="4" spans="1:5" ht="16.5">
      <c r="A4" s="27" t="s">
        <v>11</v>
      </c>
      <c r="B4" s="27" t="s">
        <v>68</v>
      </c>
      <c r="C4" s="27" t="s">
        <v>69</v>
      </c>
      <c r="D4" s="27" t="s">
        <v>1</v>
      </c>
      <c r="E4" s="27" t="s">
        <v>125</v>
      </c>
    </row>
    <row r="5" spans="1:5" ht="16.5">
      <c r="A5" s="27" t="s">
        <v>2</v>
      </c>
      <c r="B5" s="144" t="s">
        <v>319</v>
      </c>
      <c r="C5" s="27"/>
      <c r="D5" s="27"/>
      <c r="E5" s="145"/>
    </row>
    <row r="6" spans="1:5" ht="49.5">
      <c r="A6" s="27">
        <v>1</v>
      </c>
      <c r="B6" s="144" t="s">
        <v>318</v>
      </c>
      <c r="C6" s="146" t="s">
        <v>8</v>
      </c>
      <c r="D6" s="147">
        <f>10259+7255+7323+5989+3758+1699+1598+3097+1685</f>
        <v>42663</v>
      </c>
      <c r="E6" s="145" t="s">
        <v>504</v>
      </c>
    </row>
    <row r="7" spans="1:5" ht="16.5" customHeight="1">
      <c r="A7" s="27"/>
      <c r="B7" s="148" t="s">
        <v>75</v>
      </c>
      <c r="C7" s="27"/>
      <c r="D7" s="27"/>
      <c r="E7" s="152"/>
    </row>
    <row r="8" spans="1:5" ht="49.5">
      <c r="A8" s="27"/>
      <c r="B8" s="145" t="s">
        <v>317</v>
      </c>
      <c r="C8" s="146" t="s">
        <v>8</v>
      </c>
      <c r="D8" s="147">
        <f>650+684+713+551+422+204+184+291+213</f>
        <v>3912</v>
      </c>
      <c r="E8" s="151" t="s">
        <v>555</v>
      </c>
    </row>
    <row r="9" spans="1:5" ht="49.5">
      <c r="A9" s="27"/>
      <c r="B9" s="145" t="s">
        <v>316</v>
      </c>
      <c r="C9" s="146" t="s">
        <v>8</v>
      </c>
      <c r="D9" s="147">
        <f>1286+1090+972+950+610+360+299+551+364</f>
        <v>6482</v>
      </c>
      <c r="E9" s="145" t="s">
        <v>556</v>
      </c>
    </row>
    <row r="10" spans="1:5" ht="49.5">
      <c r="A10" s="27"/>
      <c r="B10" s="144" t="s">
        <v>399</v>
      </c>
      <c r="C10" s="146" t="s">
        <v>8</v>
      </c>
      <c r="D10" s="147">
        <f>4958+3713+3891+3948+2073+1069+840+1556+1036</f>
        <v>23084</v>
      </c>
      <c r="E10" s="145" t="s">
        <v>533</v>
      </c>
    </row>
    <row r="11" spans="1:5" ht="33.75" customHeight="1">
      <c r="A11" s="27"/>
      <c r="B11" s="145" t="s">
        <v>315</v>
      </c>
      <c r="C11" s="146" t="s">
        <v>8</v>
      </c>
      <c r="D11" s="146">
        <f>726+347+0+150+0+61+119+106+52</f>
        <v>1561</v>
      </c>
      <c r="E11" s="145" t="s">
        <v>787</v>
      </c>
    </row>
    <row r="12" spans="1:5" ht="16.5">
      <c r="A12" s="27" t="s">
        <v>23</v>
      </c>
      <c r="B12" s="144" t="s">
        <v>314</v>
      </c>
      <c r="C12" s="27"/>
      <c r="D12" s="146"/>
      <c r="E12" s="145"/>
    </row>
    <row r="13" spans="1:5" ht="49.5">
      <c r="A13" s="146">
        <v>1</v>
      </c>
      <c r="B13" s="145" t="s">
        <v>313</v>
      </c>
      <c r="C13" s="146" t="s">
        <v>8</v>
      </c>
      <c r="D13" s="147">
        <f>1275+1077+965+947+601+357+297+548+262</f>
        <v>6329</v>
      </c>
      <c r="E13" s="145" t="s">
        <v>557</v>
      </c>
    </row>
    <row r="14" spans="1:5" ht="49.5">
      <c r="A14" s="146"/>
      <c r="B14" s="145" t="s">
        <v>312</v>
      </c>
      <c r="C14" s="146" t="s">
        <v>67</v>
      </c>
      <c r="D14" s="149">
        <f>D13/D9*100</f>
        <v>97.63961740203641</v>
      </c>
      <c r="E14" s="145" t="s">
        <v>558</v>
      </c>
    </row>
    <row r="15" spans="1:5" ht="16.5">
      <c r="A15" s="146"/>
      <c r="B15" s="148" t="s">
        <v>311</v>
      </c>
      <c r="C15" s="146"/>
      <c r="D15" s="146"/>
      <c r="E15" s="145"/>
    </row>
    <row r="16" spans="1:5" ht="49.5">
      <c r="A16" s="146" t="s">
        <v>310</v>
      </c>
      <c r="B16" s="145" t="s">
        <v>309</v>
      </c>
      <c r="C16" s="146" t="s">
        <v>8</v>
      </c>
      <c r="D16" s="147">
        <f>946+756+659+664+440+225+187+374+189</f>
        <v>4440</v>
      </c>
      <c r="E16" s="145" t="s">
        <v>559</v>
      </c>
    </row>
    <row r="17" spans="1:5" ht="49.5">
      <c r="A17" s="146"/>
      <c r="B17" s="145" t="s">
        <v>307</v>
      </c>
      <c r="C17" s="146" t="s">
        <v>67</v>
      </c>
      <c r="D17" s="149">
        <f>(99.8+98.8+99.4+99.8+98.2+99.1+98.9+99.2+99.5)/9</f>
        <v>99.1888888888889</v>
      </c>
      <c r="E17" s="145" t="s">
        <v>560</v>
      </c>
    </row>
    <row r="18" spans="1:5" ht="49.5">
      <c r="A18" s="150" t="s">
        <v>566</v>
      </c>
      <c r="B18" s="145" t="s">
        <v>308</v>
      </c>
      <c r="C18" s="146" t="s">
        <v>8</v>
      </c>
      <c r="D18" s="146">
        <f>448+434+394+377+192+164+139+232+104</f>
        <v>2484</v>
      </c>
      <c r="E18" s="145" t="s">
        <v>561</v>
      </c>
    </row>
    <row r="19" spans="1:5" ht="49.5">
      <c r="A19" s="146"/>
      <c r="B19" s="145" t="s">
        <v>307</v>
      </c>
      <c r="C19" s="146" t="s">
        <v>67</v>
      </c>
      <c r="D19" s="146">
        <f>(100+98+98.7+94.6+95+99.3+98.6+97.9+98.1)/9</f>
        <v>97.8</v>
      </c>
      <c r="E19" s="145" t="s">
        <v>562</v>
      </c>
    </row>
    <row r="20" spans="1:5" ht="49.5">
      <c r="A20" s="146">
        <v>2</v>
      </c>
      <c r="B20" s="145" t="s">
        <v>306</v>
      </c>
      <c r="C20" s="146" t="s">
        <v>8</v>
      </c>
      <c r="D20" s="146">
        <f>370+341+354+274+154+64+131+121+40</f>
        <v>1849</v>
      </c>
      <c r="E20" s="145" t="s">
        <v>563</v>
      </c>
    </row>
    <row r="21" spans="1:5" ht="49.5">
      <c r="A21" s="146">
        <v>2.1</v>
      </c>
      <c r="B21" s="145" t="s">
        <v>305</v>
      </c>
      <c r="C21" s="146" t="s">
        <v>67</v>
      </c>
      <c r="D21" s="149">
        <f>(90+83+87+87+77+40.5+76+66.5+40)/9</f>
        <v>71.88888888888889</v>
      </c>
      <c r="E21" s="145" t="s">
        <v>567</v>
      </c>
    </row>
    <row r="22" spans="1:5" ht="33">
      <c r="A22" s="146">
        <v>3</v>
      </c>
      <c r="B22" s="145" t="s">
        <v>304</v>
      </c>
      <c r="C22" s="146" t="s">
        <v>8</v>
      </c>
      <c r="D22" s="146">
        <f>0+10+0+14+0+14+0+21+0</f>
        <v>59</v>
      </c>
      <c r="E22" s="145" t="s">
        <v>554</v>
      </c>
    </row>
    <row r="23" spans="1:5" ht="49.5">
      <c r="A23" s="146"/>
      <c r="B23" s="145" t="s">
        <v>303</v>
      </c>
      <c r="C23" s="146" t="s">
        <v>67</v>
      </c>
      <c r="D23" s="149">
        <f>(0+11.9+0+0.04+0+26.4+0+11.5+0)/9</f>
        <v>5.5377777777777775</v>
      </c>
      <c r="E23" s="145" t="s">
        <v>783</v>
      </c>
    </row>
    <row r="24" spans="1:5" ht="36.75" customHeight="1">
      <c r="A24" s="146">
        <v>4</v>
      </c>
      <c r="B24" s="145" t="s">
        <v>302</v>
      </c>
      <c r="C24" s="146" t="s">
        <v>8</v>
      </c>
      <c r="D24" s="146">
        <f>87+91+96+98+46+33+37+36+23</f>
        <v>547</v>
      </c>
      <c r="E24" s="145" t="s">
        <v>784</v>
      </c>
    </row>
    <row r="25" spans="1:5" ht="39.75" customHeight="1">
      <c r="A25" s="146"/>
      <c r="B25" s="145" t="s">
        <v>301</v>
      </c>
      <c r="C25" s="146" t="s">
        <v>67</v>
      </c>
      <c r="D25" s="149">
        <f>(100+100+100+100+98+94.3+100+100+100)/9</f>
        <v>99.14444444444445</v>
      </c>
      <c r="E25" s="145" t="s">
        <v>785</v>
      </c>
    </row>
    <row r="26" spans="1:5" ht="49.5">
      <c r="A26" s="146">
        <v>5</v>
      </c>
      <c r="B26" s="145" t="s">
        <v>300</v>
      </c>
      <c r="C26" s="146" t="s">
        <v>67</v>
      </c>
      <c r="D26" s="146">
        <f>(95+92+95+92+91+90+91+92.9+90.9)/9</f>
        <v>92.19999999999999</v>
      </c>
      <c r="E26" s="145" t="s">
        <v>564</v>
      </c>
    </row>
    <row r="27" spans="1:5" ht="56.25" customHeight="1">
      <c r="A27" s="146">
        <v>6</v>
      </c>
      <c r="B27" s="145" t="s">
        <v>299</v>
      </c>
      <c r="C27" s="146" t="s">
        <v>8</v>
      </c>
      <c r="D27" s="146">
        <f>85+85+89+90+43+24+31+35+21</f>
        <v>503</v>
      </c>
      <c r="E27" s="145" t="s">
        <v>786</v>
      </c>
    </row>
    <row r="28" spans="1:5" ht="49.5">
      <c r="A28" s="146"/>
      <c r="B28" s="145" t="s">
        <v>298</v>
      </c>
      <c r="C28" s="146" t="s">
        <v>67</v>
      </c>
      <c r="D28" s="149">
        <f>(97.7+93.4+92.7+91.8+93.5+72.7+83.7+97.2+91.3)/9</f>
        <v>90.44444444444446</v>
      </c>
      <c r="E28" s="145" t="s">
        <v>565</v>
      </c>
    </row>
    <row r="29" spans="1:5" ht="16.5">
      <c r="A29" s="27" t="s">
        <v>66</v>
      </c>
      <c r="B29" s="144" t="s">
        <v>297</v>
      </c>
      <c r="C29" s="146"/>
      <c r="D29" s="146"/>
      <c r="E29" s="145"/>
    </row>
    <row r="30" spans="1:5" ht="49.5">
      <c r="A30" s="146">
        <v>1</v>
      </c>
      <c r="B30" s="145" t="s">
        <v>296</v>
      </c>
      <c r="C30" s="146" t="s">
        <v>8</v>
      </c>
      <c r="D30" s="147">
        <f>4958+3713+3891+3948+2073+1069+840+1556+1036</f>
        <v>23084</v>
      </c>
      <c r="E30" s="145" t="s">
        <v>534</v>
      </c>
    </row>
    <row r="31" spans="1:5" ht="49.5">
      <c r="A31" s="146"/>
      <c r="B31" s="145" t="s">
        <v>400</v>
      </c>
      <c r="C31" s="146" t="s">
        <v>8</v>
      </c>
      <c r="D31" s="147">
        <f>4739+3639+3771+3808+1796+1043+798+1525+984</f>
        <v>22103</v>
      </c>
      <c r="E31" s="145" t="s">
        <v>535</v>
      </c>
    </row>
    <row r="32" spans="1:5" ht="16.5">
      <c r="A32" s="146"/>
      <c r="B32" s="145" t="s">
        <v>75</v>
      </c>
      <c r="C32" s="146"/>
      <c r="D32" s="146"/>
      <c r="E32" s="145"/>
    </row>
    <row r="33" spans="1:5" ht="49.5">
      <c r="A33" s="146"/>
      <c r="B33" s="145" t="s">
        <v>295</v>
      </c>
      <c r="C33" s="146" t="s">
        <v>8</v>
      </c>
      <c r="D33" s="147">
        <f>2492+3180+1859+2656+971+901+673+1326+858</f>
        <v>14916</v>
      </c>
      <c r="E33" s="145" t="s">
        <v>536</v>
      </c>
    </row>
    <row r="34" spans="1:5" ht="49.5">
      <c r="A34" s="146"/>
      <c r="B34" s="145" t="s">
        <v>294</v>
      </c>
      <c r="C34" s="146" t="s">
        <v>67</v>
      </c>
      <c r="D34" s="149">
        <f>(52.6+85.6+49.3+67.3+54.1+84.3+84+85.2+87.2)/9</f>
        <v>72.17777777777779</v>
      </c>
      <c r="E34" s="145" t="s">
        <v>568</v>
      </c>
    </row>
    <row r="35" spans="1:5" ht="49.5">
      <c r="A35" s="146"/>
      <c r="B35" s="145" t="s">
        <v>293</v>
      </c>
      <c r="C35" s="146" t="s">
        <v>8</v>
      </c>
      <c r="D35" s="147">
        <f>2466+533+2032+1152+1248+168+167+230+126</f>
        <v>8122</v>
      </c>
      <c r="E35" s="145" t="s">
        <v>714</v>
      </c>
    </row>
    <row r="36" spans="1:5" ht="49.5">
      <c r="A36" s="146"/>
      <c r="B36" s="145" t="s">
        <v>292</v>
      </c>
      <c r="C36" s="146" t="s">
        <v>67</v>
      </c>
      <c r="D36" s="149">
        <f>(47.4+14.4+50.7+29+45.9+15.7+16+12.8+12.1)/9</f>
        <v>27.11111111111111</v>
      </c>
      <c r="E36" s="145" t="s">
        <v>569</v>
      </c>
    </row>
    <row r="37" spans="1:5" ht="16.5">
      <c r="A37" s="28"/>
      <c r="B37" s="29"/>
      <c r="C37" s="29"/>
      <c r="D37" s="29"/>
      <c r="E37" s="30"/>
    </row>
    <row r="40" ht="16.5">
      <c r="D40" s="62"/>
    </row>
  </sheetData>
  <sheetProtection/>
  <mergeCells count="2">
    <mergeCell ref="A1:E1"/>
    <mergeCell ref="A2:E2"/>
  </mergeCells>
  <printOptions/>
  <pageMargins left="0.25" right="0" top="0.25" bottom="0.25"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4"/>
  <dimension ref="A1:G63"/>
  <sheetViews>
    <sheetView zoomScalePageLayoutView="0" workbookViewId="0" topLeftCell="A1">
      <pane ySplit="4" topLeftCell="A50" activePane="bottomLeft" state="frozen"/>
      <selection pane="topLeft" activeCell="A1" sqref="A1"/>
      <selection pane="bottomLeft" activeCell="J19" sqref="J19"/>
    </sheetView>
  </sheetViews>
  <sheetFormatPr defaultColWidth="9.140625" defaultRowHeight="12.75"/>
  <cols>
    <col min="1" max="1" width="6.57421875" style="19" customWidth="1"/>
    <col min="2" max="2" width="50.140625" style="19" bestFit="1" customWidth="1"/>
    <col min="3" max="3" width="8.7109375" style="19" customWidth="1"/>
    <col min="4" max="4" width="10.28125" style="19" customWidth="1"/>
    <col min="5" max="5" width="27.421875" style="19" customWidth="1"/>
    <col min="6" max="6" width="14.00390625" style="19" customWidth="1"/>
    <col min="7" max="7" width="18.57421875" style="19" customWidth="1"/>
    <col min="8" max="16384" width="9.140625" style="19" customWidth="1"/>
  </cols>
  <sheetData>
    <row r="1" spans="1:7" s="18" customFormat="1" ht="21.75" customHeight="1">
      <c r="A1" s="220" t="s">
        <v>401</v>
      </c>
      <c r="B1" s="220"/>
      <c r="C1" s="220"/>
      <c r="D1" s="220"/>
      <c r="E1" s="220"/>
      <c r="F1" s="220"/>
      <c r="G1" s="220"/>
    </row>
    <row r="2" spans="1:7" s="18" customFormat="1" ht="21.75" customHeight="1">
      <c r="A2" s="226" t="s">
        <v>761</v>
      </c>
      <c r="B2" s="226"/>
      <c r="C2" s="226"/>
      <c r="D2" s="226"/>
      <c r="E2" s="226"/>
      <c r="F2" s="226"/>
      <c r="G2" s="226"/>
    </row>
    <row r="3" s="18" customFormat="1" ht="15.75" customHeight="1">
      <c r="C3" s="19"/>
    </row>
    <row r="4" spans="1:7" ht="58.5" customHeight="1">
      <c r="A4" s="8" t="s">
        <v>11</v>
      </c>
      <c r="B4" s="8" t="s">
        <v>184</v>
      </c>
      <c r="C4" s="8" t="s">
        <v>69</v>
      </c>
      <c r="D4" s="8" t="s">
        <v>186</v>
      </c>
      <c r="E4" s="8" t="s">
        <v>185</v>
      </c>
      <c r="F4" s="8" t="s">
        <v>187</v>
      </c>
      <c r="G4" s="8" t="s">
        <v>125</v>
      </c>
    </row>
    <row r="5" spans="1:7" ht="16.5">
      <c r="A5" s="117" t="s">
        <v>356</v>
      </c>
      <c r="B5" s="117" t="s">
        <v>457</v>
      </c>
      <c r="C5" s="153"/>
      <c r="D5" s="117"/>
      <c r="E5" s="117"/>
      <c r="F5" s="117"/>
      <c r="G5" s="117"/>
    </row>
    <row r="6" spans="1:7" ht="16.5">
      <c r="A6" s="8" t="s">
        <v>2</v>
      </c>
      <c r="B6" s="8" t="s">
        <v>413</v>
      </c>
      <c r="C6" s="69"/>
      <c r="D6" s="8"/>
      <c r="E6" s="8"/>
      <c r="F6" s="8"/>
      <c r="G6" s="8"/>
    </row>
    <row r="7" spans="1:7" ht="33">
      <c r="A7" s="69">
        <v>1</v>
      </c>
      <c r="B7" s="71" t="s">
        <v>402</v>
      </c>
      <c r="C7" s="69">
        <v>1</v>
      </c>
      <c r="D7" s="69">
        <v>7</v>
      </c>
      <c r="E7" s="71" t="s">
        <v>403</v>
      </c>
      <c r="F7" s="69">
        <v>2</v>
      </c>
      <c r="G7" s="69" t="s">
        <v>404</v>
      </c>
    </row>
    <row r="8" spans="1:7" ht="16.5">
      <c r="A8" s="8" t="s">
        <v>23</v>
      </c>
      <c r="B8" s="8" t="s">
        <v>414</v>
      </c>
      <c r="C8" s="69"/>
      <c r="D8" s="8"/>
      <c r="E8" s="68"/>
      <c r="F8" s="8"/>
      <c r="G8" s="8"/>
    </row>
    <row r="9" spans="1:7" ht="33">
      <c r="A9" s="69">
        <v>1</v>
      </c>
      <c r="B9" s="71" t="s">
        <v>324</v>
      </c>
      <c r="C9" s="69">
        <v>1</v>
      </c>
      <c r="D9" s="69">
        <v>7</v>
      </c>
      <c r="E9" s="71" t="s">
        <v>708</v>
      </c>
      <c r="F9" s="69">
        <v>1</v>
      </c>
      <c r="G9" s="69" t="s">
        <v>331</v>
      </c>
    </row>
    <row r="10" spans="1:7" ht="16.5">
      <c r="A10" s="8" t="s">
        <v>66</v>
      </c>
      <c r="B10" s="8" t="s">
        <v>422</v>
      </c>
      <c r="C10" s="69"/>
      <c r="D10" s="8"/>
      <c r="E10" s="71"/>
      <c r="F10" s="8"/>
      <c r="G10" s="69"/>
    </row>
    <row r="11" spans="1:7" ht="33">
      <c r="A11" s="69">
        <v>1</v>
      </c>
      <c r="B11" s="71" t="s">
        <v>415</v>
      </c>
      <c r="C11" s="69">
        <v>1</v>
      </c>
      <c r="D11" s="69">
        <v>7</v>
      </c>
      <c r="E11" s="154" t="s">
        <v>416</v>
      </c>
      <c r="F11" s="69">
        <v>1</v>
      </c>
      <c r="G11" s="69" t="s">
        <v>417</v>
      </c>
    </row>
    <row r="12" spans="1:7" ht="33">
      <c r="A12" s="69">
        <v>2</v>
      </c>
      <c r="B12" s="71" t="s">
        <v>418</v>
      </c>
      <c r="C12" s="69">
        <v>1</v>
      </c>
      <c r="D12" s="69">
        <v>7</v>
      </c>
      <c r="E12" s="154" t="s">
        <v>416</v>
      </c>
      <c r="F12" s="69">
        <v>1</v>
      </c>
      <c r="G12" s="69" t="s">
        <v>419</v>
      </c>
    </row>
    <row r="13" spans="1:7" ht="33">
      <c r="A13" s="69">
        <v>3</v>
      </c>
      <c r="B13" s="71" t="s">
        <v>420</v>
      </c>
      <c r="C13" s="69">
        <v>1</v>
      </c>
      <c r="D13" s="69">
        <v>7</v>
      </c>
      <c r="E13" s="71" t="s">
        <v>709</v>
      </c>
      <c r="F13" s="69">
        <v>0</v>
      </c>
      <c r="G13" s="69" t="s">
        <v>421</v>
      </c>
    </row>
    <row r="14" spans="1:7" ht="16.5">
      <c r="A14" s="8" t="s">
        <v>78</v>
      </c>
      <c r="B14" s="8" t="s">
        <v>426</v>
      </c>
      <c r="C14" s="69"/>
      <c r="D14" s="8"/>
      <c r="E14" s="71"/>
      <c r="F14" s="8"/>
      <c r="G14" s="69"/>
    </row>
    <row r="15" spans="1:7" ht="33">
      <c r="A15" s="69">
        <v>1</v>
      </c>
      <c r="B15" s="71" t="s">
        <v>424</v>
      </c>
      <c r="C15" s="69">
        <v>1</v>
      </c>
      <c r="D15" s="69">
        <v>17</v>
      </c>
      <c r="E15" s="154" t="s">
        <v>425</v>
      </c>
      <c r="F15" s="69">
        <v>5</v>
      </c>
      <c r="G15" s="69"/>
    </row>
    <row r="16" spans="1:7" ht="16.5">
      <c r="A16" s="8" t="s">
        <v>198</v>
      </c>
      <c r="B16" s="8" t="s">
        <v>429</v>
      </c>
      <c r="C16" s="69"/>
      <c r="D16" s="8"/>
      <c r="E16" s="71"/>
      <c r="F16" s="8"/>
      <c r="G16" s="69"/>
    </row>
    <row r="17" spans="1:7" ht="78.75">
      <c r="A17" s="155">
        <v>1</v>
      </c>
      <c r="B17" s="113" t="s">
        <v>494</v>
      </c>
      <c r="C17" s="114">
        <v>1</v>
      </c>
      <c r="D17" s="114">
        <v>56</v>
      </c>
      <c r="E17" s="156" t="s">
        <v>788</v>
      </c>
      <c r="F17" s="114">
        <v>11</v>
      </c>
      <c r="G17" s="108" t="s">
        <v>495</v>
      </c>
    </row>
    <row r="18" spans="1:7" ht="30">
      <c r="A18" s="155">
        <v>2</v>
      </c>
      <c r="B18" s="157" t="s">
        <v>496</v>
      </c>
      <c r="C18" s="155">
        <v>1</v>
      </c>
      <c r="D18" s="155">
        <v>7</v>
      </c>
      <c r="E18" s="157" t="s">
        <v>705</v>
      </c>
      <c r="F18" s="155">
        <v>2</v>
      </c>
      <c r="G18" s="158"/>
    </row>
    <row r="19" spans="1:7" ht="78.75">
      <c r="A19" s="155">
        <v>3</v>
      </c>
      <c r="B19" s="113" t="s">
        <v>497</v>
      </c>
      <c r="C19" s="114">
        <v>1</v>
      </c>
      <c r="D19" s="114">
        <v>20</v>
      </c>
      <c r="E19" s="156" t="s">
        <v>498</v>
      </c>
      <c r="F19" s="114" t="s">
        <v>499</v>
      </c>
      <c r="G19" s="108" t="s">
        <v>495</v>
      </c>
    </row>
    <row r="20" spans="1:7" ht="16.5">
      <c r="A20" s="8" t="s">
        <v>80</v>
      </c>
      <c r="B20" s="8" t="s">
        <v>430</v>
      </c>
      <c r="C20" s="69"/>
      <c r="D20" s="8"/>
      <c r="E20" s="71"/>
      <c r="F20" s="8"/>
      <c r="G20" s="69"/>
    </row>
    <row r="21" spans="1:7" ht="33">
      <c r="A21" s="69">
        <v>1</v>
      </c>
      <c r="B21" s="71" t="s">
        <v>464</v>
      </c>
      <c r="C21" s="69">
        <v>1</v>
      </c>
      <c r="D21" s="69">
        <v>7</v>
      </c>
      <c r="E21" s="71" t="s">
        <v>431</v>
      </c>
      <c r="F21" s="69">
        <v>1</v>
      </c>
      <c r="G21" s="69" t="s">
        <v>331</v>
      </c>
    </row>
    <row r="22" spans="1:7" ht="16.5">
      <c r="A22" s="8" t="s">
        <v>362</v>
      </c>
      <c r="B22" s="8" t="s">
        <v>443</v>
      </c>
      <c r="C22" s="69"/>
      <c r="D22" s="8"/>
      <c r="E22" s="71"/>
      <c r="F22" s="8"/>
      <c r="G22" s="69"/>
    </row>
    <row r="23" spans="1:7" ht="66">
      <c r="A23" s="69">
        <v>1</v>
      </c>
      <c r="B23" s="71" t="s">
        <v>439</v>
      </c>
      <c r="C23" s="69">
        <v>1</v>
      </c>
      <c r="D23" s="69">
        <v>18</v>
      </c>
      <c r="E23" s="154" t="s">
        <v>440</v>
      </c>
      <c r="F23" s="69">
        <v>3</v>
      </c>
      <c r="G23" s="69"/>
    </row>
    <row r="24" spans="1:7" ht="33">
      <c r="A24" s="69">
        <v>2</v>
      </c>
      <c r="B24" s="71" t="s">
        <v>441</v>
      </c>
      <c r="C24" s="69">
        <v>1</v>
      </c>
      <c r="D24" s="69">
        <v>7</v>
      </c>
      <c r="E24" s="71" t="s">
        <v>442</v>
      </c>
      <c r="F24" s="69">
        <v>1</v>
      </c>
      <c r="G24" s="69"/>
    </row>
    <row r="25" spans="1:7" s="18" customFormat="1" ht="16.5">
      <c r="A25" s="8" t="s">
        <v>363</v>
      </c>
      <c r="B25" s="8" t="s">
        <v>444</v>
      </c>
      <c r="C25" s="69"/>
      <c r="D25" s="8"/>
      <c r="E25" s="68"/>
      <c r="F25" s="8"/>
      <c r="G25" s="8"/>
    </row>
    <row r="26" spans="1:7" ht="49.5">
      <c r="A26" s="69">
        <v>1</v>
      </c>
      <c r="B26" s="71" t="s">
        <v>459</v>
      </c>
      <c r="C26" s="69">
        <v>1</v>
      </c>
      <c r="D26" s="69">
        <v>8</v>
      </c>
      <c r="E26" s="71" t="s">
        <v>445</v>
      </c>
      <c r="F26" s="69">
        <v>6</v>
      </c>
      <c r="G26" s="69"/>
    </row>
    <row r="27" spans="1:7" s="18" customFormat="1" ht="16.5">
      <c r="A27" s="8" t="s">
        <v>364</v>
      </c>
      <c r="B27" s="8" t="s">
        <v>452</v>
      </c>
      <c r="C27" s="69"/>
      <c r="D27" s="8"/>
      <c r="E27" s="68"/>
      <c r="F27" s="8"/>
      <c r="G27" s="8"/>
    </row>
    <row r="28" spans="1:7" ht="16.5">
      <c r="A28" s="69">
        <v>1</v>
      </c>
      <c r="B28" s="71" t="s">
        <v>453</v>
      </c>
      <c r="C28" s="69">
        <v>1</v>
      </c>
      <c r="D28" s="69">
        <v>7</v>
      </c>
      <c r="E28" s="154" t="s">
        <v>454</v>
      </c>
      <c r="F28" s="69">
        <v>3</v>
      </c>
      <c r="G28" s="69"/>
    </row>
    <row r="29" spans="1:7" ht="19.5" customHeight="1">
      <c r="A29" s="117" t="s">
        <v>342</v>
      </c>
      <c r="B29" s="117" t="s">
        <v>458</v>
      </c>
      <c r="C29" s="153"/>
      <c r="D29" s="117"/>
      <c r="E29" s="159"/>
      <c r="F29" s="117"/>
      <c r="G29" s="117"/>
    </row>
    <row r="30" spans="1:7" ht="19.5" customHeight="1">
      <c r="A30" s="8" t="s">
        <v>2</v>
      </c>
      <c r="B30" s="8" t="s">
        <v>413</v>
      </c>
      <c r="C30" s="69"/>
      <c r="D30" s="8"/>
      <c r="E30" s="68"/>
      <c r="F30" s="8"/>
      <c r="G30" s="8"/>
    </row>
    <row r="31" spans="1:7" ht="33">
      <c r="A31" s="69">
        <v>1</v>
      </c>
      <c r="B31" s="71" t="s">
        <v>405</v>
      </c>
      <c r="C31" s="69">
        <v>1</v>
      </c>
      <c r="D31" s="69">
        <v>17</v>
      </c>
      <c r="E31" s="71" t="s">
        <v>406</v>
      </c>
      <c r="F31" s="69">
        <v>3</v>
      </c>
      <c r="G31" s="69" t="s">
        <v>404</v>
      </c>
    </row>
    <row r="32" spans="1:7" ht="33">
      <c r="A32" s="69">
        <v>2</v>
      </c>
      <c r="B32" s="71" t="s">
        <v>407</v>
      </c>
      <c r="C32" s="69">
        <v>1</v>
      </c>
      <c r="D32" s="69">
        <v>8</v>
      </c>
      <c r="E32" s="71" t="s">
        <v>408</v>
      </c>
      <c r="F32" s="69">
        <v>3</v>
      </c>
      <c r="G32" s="69" t="s">
        <v>409</v>
      </c>
    </row>
    <row r="33" spans="1:7" ht="19.5" customHeight="1">
      <c r="A33" s="69">
        <v>3</v>
      </c>
      <c r="B33" s="71" t="s">
        <v>410</v>
      </c>
      <c r="C33" s="69">
        <v>1</v>
      </c>
      <c r="D33" s="69">
        <v>28</v>
      </c>
      <c r="E33" s="71" t="s">
        <v>411</v>
      </c>
      <c r="F33" s="69"/>
      <c r="G33" s="69" t="s">
        <v>412</v>
      </c>
    </row>
    <row r="34" spans="1:7" ht="19.5" customHeight="1">
      <c r="A34" s="8" t="s">
        <v>23</v>
      </c>
      <c r="B34" s="8" t="s">
        <v>414</v>
      </c>
      <c r="C34" s="69"/>
      <c r="D34" s="69"/>
      <c r="E34" s="71"/>
      <c r="F34" s="69"/>
      <c r="G34" s="69"/>
    </row>
    <row r="35" spans="1:7" ht="33">
      <c r="A35" s="69">
        <v>1</v>
      </c>
      <c r="B35" s="71" t="s">
        <v>321</v>
      </c>
      <c r="C35" s="69">
        <v>1</v>
      </c>
      <c r="D35" s="69">
        <v>11</v>
      </c>
      <c r="E35" s="71" t="s">
        <v>322</v>
      </c>
      <c r="F35" s="69">
        <v>5</v>
      </c>
      <c r="G35" s="69" t="s">
        <v>323</v>
      </c>
    </row>
    <row r="36" spans="1:7" ht="33">
      <c r="A36" s="69">
        <v>2</v>
      </c>
      <c r="B36" s="71" t="s">
        <v>325</v>
      </c>
      <c r="C36" s="69">
        <v>1</v>
      </c>
      <c r="D36" s="69">
        <v>11</v>
      </c>
      <c r="E36" s="71" t="s">
        <v>322</v>
      </c>
      <c r="F36" s="69">
        <v>5</v>
      </c>
      <c r="G36" s="69" t="s">
        <v>323</v>
      </c>
    </row>
    <row r="37" spans="1:7" ht="19.5" customHeight="1">
      <c r="A37" s="8" t="s">
        <v>66</v>
      </c>
      <c r="B37" s="8" t="s">
        <v>422</v>
      </c>
      <c r="C37" s="69"/>
      <c r="D37" s="69"/>
      <c r="E37" s="71"/>
      <c r="F37" s="69"/>
      <c r="G37" s="69"/>
    </row>
    <row r="38" spans="1:7" ht="33">
      <c r="A38" s="69">
        <v>1</v>
      </c>
      <c r="B38" s="71" t="s">
        <v>460</v>
      </c>
      <c r="C38" s="69">
        <v>1</v>
      </c>
      <c r="D38" s="69">
        <v>8</v>
      </c>
      <c r="E38" s="154" t="s">
        <v>322</v>
      </c>
      <c r="F38" s="69">
        <v>2</v>
      </c>
      <c r="G38" s="69" t="s">
        <v>423</v>
      </c>
    </row>
    <row r="39" spans="1:7" ht="33">
      <c r="A39" s="69">
        <v>2</v>
      </c>
      <c r="B39" s="71" t="s">
        <v>461</v>
      </c>
      <c r="C39" s="69">
        <v>1</v>
      </c>
      <c r="D39" s="69">
        <v>10</v>
      </c>
      <c r="E39" s="154" t="s">
        <v>322</v>
      </c>
      <c r="F39" s="69">
        <v>0</v>
      </c>
      <c r="G39" s="69" t="s">
        <v>421</v>
      </c>
    </row>
    <row r="40" spans="1:7" ht="33">
      <c r="A40" s="69">
        <v>3</v>
      </c>
      <c r="B40" s="71" t="s">
        <v>462</v>
      </c>
      <c r="C40" s="69">
        <v>1</v>
      </c>
      <c r="D40" s="69">
        <v>15</v>
      </c>
      <c r="E40" s="154" t="s">
        <v>322</v>
      </c>
      <c r="F40" s="69">
        <v>0</v>
      </c>
      <c r="G40" s="69" t="s">
        <v>421</v>
      </c>
    </row>
    <row r="41" spans="1:7" ht="16.5">
      <c r="A41" s="8" t="s">
        <v>78</v>
      </c>
      <c r="B41" s="8" t="s">
        <v>426</v>
      </c>
      <c r="C41" s="69"/>
      <c r="D41" s="69"/>
      <c r="E41" s="71"/>
      <c r="F41" s="69"/>
      <c r="G41" s="69"/>
    </row>
    <row r="42" spans="1:7" ht="16.5">
      <c r="A42" s="69">
        <v>1</v>
      </c>
      <c r="B42" s="71" t="s">
        <v>427</v>
      </c>
      <c r="C42" s="69">
        <v>1</v>
      </c>
      <c r="D42" s="69">
        <v>9</v>
      </c>
      <c r="E42" s="154" t="s">
        <v>411</v>
      </c>
      <c r="F42" s="69">
        <v>10</v>
      </c>
      <c r="G42" s="69"/>
    </row>
    <row r="43" spans="1:7" ht="16.5">
      <c r="A43" s="69">
        <v>2</v>
      </c>
      <c r="B43" s="71" t="s">
        <v>463</v>
      </c>
      <c r="C43" s="69">
        <v>1</v>
      </c>
      <c r="D43" s="69">
        <v>8</v>
      </c>
      <c r="E43" s="154" t="s">
        <v>428</v>
      </c>
      <c r="F43" s="69">
        <v>2</v>
      </c>
      <c r="G43" s="69"/>
    </row>
    <row r="44" spans="1:7" ht="16.5">
      <c r="A44" s="8" t="s">
        <v>198</v>
      </c>
      <c r="B44" s="8" t="s">
        <v>429</v>
      </c>
      <c r="C44" s="69"/>
      <c r="D44" s="69"/>
      <c r="E44" s="71"/>
      <c r="F44" s="69"/>
      <c r="G44" s="69"/>
    </row>
    <row r="45" spans="1:7" ht="16.5">
      <c r="A45" s="155">
        <v>1</v>
      </c>
      <c r="B45" s="160" t="s">
        <v>500</v>
      </c>
      <c r="C45" s="161">
        <v>1</v>
      </c>
      <c r="D45" s="161">
        <v>16</v>
      </c>
      <c r="E45" s="160" t="s">
        <v>501</v>
      </c>
      <c r="F45" s="161">
        <v>3</v>
      </c>
      <c r="G45" s="161"/>
    </row>
    <row r="46" spans="1:7" ht="18.75">
      <c r="A46" s="155">
        <v>2</v>
      </c>
      <c r="B46" s="162" t="s">
        <v>502</v>
      </c>
      <c r="C46" s="161">
        <v>1</v>
      </c>
      <c r="D46" s="163">
        <v>8</v>
      </c>
      <c r="E46" s="160" t="s">
        <v>503</v>
      </c>
      <c r="F46" s="163">
        <v>3</v>
      </c>
      <c r="G46" s="161"/>
    </row>
    <row r="47" spans="1:7" ht="16.5">
      <c r="A47" s="8" t="s">
        <v>80</v>
      </c>
      <c r="B47" s="8" t="s">
        <v>430</v>
      </c>
      <c r="C47" s="69"/>
      <c r="D47" s="69"/>
      <c r="E47" s="71"/>
      <c r="F47" s="69"/>
      <c r="G47" s="69"/>
    </row>
    <row r="48" spans="1:7" ht="33">
      <c r="A48" s="69">
        <v>1</v>
      </c>
      <c r="B48" s="71" t="s">
        <v>432</v>
      </c>
      <c r="C48" s="69">
        <v>1</v>
      </c>
      <c r="D48" s="69">
        <v>20</v>
      </c>
      <c r="E48" s="71" t="s">
        <v>433</v>
      </c>
      <c r="F48" s="69">
        <v>1</v>
      </c>
      <c r="G48" s="69" t="s">
        <v>434</v>
      </c>
    </row>
    <row r="49" spans="1:7" ht="33">
      <c r="A49" s="69">
        <v>2</v>
      </c>
      <c r="B49" s="71" t="s">
        <v>435</v>
      </c>
      <c r="C49" s="69">
        <v>1</v>
      </c>
      <c r="D49" s="69">
        <v>8</v>
      </c>
      <c r="E49" s="71" t="s">
        <v>433</v>
      </c>
      <c r="F49" s="69">
        <v>1</v>
      </c>
      <c r="G49" s="69" t="s">
        <v>434</v>
      </c>
    </row>
    <row r="50" spans="1:7" ht="33">
      <c r="A50" s="69">
        <v>3</v>
      </c>
      <c r="B50" s="71" t="s">
        <v>436</v>
      </c>
      <c r="C50" s="69">
        <v>1</v>
      </c>
      <c r="D50" s="69">
        <v>17</v>
      </c>
      <c r="E50" s="71" t="s">
        <v>433</v>
      </c>
      <c r="F50" s="69">
        <v>1</v>
      </c>
      <c r="G50" s="69" t="s">
        <v>434</v>
      </c>
    </row>
    <row r="51" spans="1:7" ht="33">
      <c r="A51" s="69">
        <v>4</v>
      </c>
      <c r="B51" s="71" t="s">
        <v>437</v>
      </c>
      <c r="C51" s="69">
        <v>1</v>
      </c>
      <c r="D51" s="69">
        <v>18</v>
      </c>
      <c r="E51" s="71" t="s">
        <v>433</v>
      </c>
      <c r="F51" s="69">
        <v>1</v>
      </c>
      <c r="G51" s="69" t="s">
        <v>434</v>
      </c>
    </row>
    <row r="52" spans="1:7" ht="33">
      <c r="A52" s="69">
        <v>5</v>
      </c>
      <c r="B52" s="71" t="s">
        <v>438</v>
      </c>
      <c r="C52" s="69">
        <v>1</v>
      </c>
      <c r="D52" s="69">
        <v>13</v>
      </c>
      <c r="E52" s="71" t="s">
        <v>431</v>
      </c>
      <c r="F52" s="69">
        <v>1</v>
      </c>
      <c r="G52" s="69" t="s">
        <v>434</v>
      </c>
    </row>
    <row r="53" spans="1:7" ht="16.5">
      <c r="A53" s="8" t="s">
        <v>362</v>
      </c>
      <c r="B53" s="8" t="s">
        <v>443</v>
      </c>
      <c r="C53" s="69"/>
      <c r="D53" s="69"/>
      <c r="E53" s="71"/>
      <c r="F53" s="69"/>
      <c r="G53" s="69"/>
    </row>
    <row r="54" spans="1:7" ht="33">
      <c r="A54" s="69">
        <v>1</v>
      </c>
      <c r="B54" s="71" t="s">
        <v>485</v>
      </c>
      <c r="C54" s="69">
        <v>3</v>
      </c>
      <c r="D54" s="69">
        <v>60</v>
      </c>
      <c r="E54" s="71" t="s">
        <v>486</v>
      </c>
      <c r="F54" s="69">
        <v>4</v>
      </c>
      <c r="G54" s="69"/>
    </row>
    <row r="55" spans="1:7" ht="33">
      <c r="A55" s="69">
        <v>2</v>
      </c>
      <c r="B55" s="71" t="s">
        <v>487</v>
      </c>
      <c r="C55" s="69">
        <v>3</v>
      </c>
      <c r="D55" s="69">
        <v>25</v>
      </c>
      <c r="E55" s="71" t="s">
        <v>488</v>
      </c>
      <c r="F55" s="69">
        <v>3</v>
      </c>
      <c r="G55" s="69"/>
    </row>
    <row r="56" spans="1:7" ht="16.5">
      <c r="A56" s="69">
        <v>3</v>
      </c>
      <c r="B56" s="71" t="s">
        <v>489</v>
      </c>
      <c r="C56" s="69">
        <v>1</v>
      </c>
      <c r="D56" s="69">
        <v>8</v>
      </c>
      <c r="E56" s="71" t="s">
        <v>490</v>
      </c>
      <c r="F56" s="69">
        <v>3</v>
      </c>
      <c r="G56" s="69"/>
    </row>
    <row r="57" spans="1:7" ht="16.5">
      <c r="A57" s="8" t="s">
        <v>363</v>
      </c>
      <c r="B57" s="8" t="s">
        <v>444</v>
      </c>
      <c r="C57" s="69"/>
      <c r="D57" s="69"/>
      <c r="E57" s="71"/>
      <c r="F57" s="69"/>
      <c r="G57" s="69"/>
    </row>
    <row r="58" spans="1:7" ht="16.5">
      <c r="A58" s="69">
        <v>1</v>
      </c>
      <c r="B58" s="71" t="s">
        <v>446</v>
      </c>
      <c r="C58" s="69">
        <v>1</v>
      </c>
      <c r="D58" s="69">
        <v>60</v>
      </c>
      <c r="E58" s="71" t="s">
        <v>447</v>
      </c>
      <c r="F58" s="69">
        <v>5</v>
      </c>
      <c r="G58" s="69"/>
    </row>
    <row r="59" spans="1:7" ht="16.5">
      <c r="A59" s="69">
        <v>2</v>
      </c>
      <c r="B59" s="71" t="s">
        <v>448</v>
      </c>
      <c r="C59" s="69">
        <v>1</v>
      </c>
      <c r="D59" s="69">
        <v>70</v>
      </c>
      <c r="E59" s="71" t="s">
        <v>449</v>
      </c>
      <c r="F59" s="69">
        <v>5</v>
      </c>
      <c r="G59" s="69"/>
    </row>
    <row r="60" spans="1:7" ht="16.5">
      <c r="A60" s="69">
        <v>3</v>
      </c>
      <c r="B60" s="71" t="s">
        <v>450</v>
      </c>
      <c r="C60" s="69">
        <v>1</v>
      </c>
      <c r="D60" s="69">
        <v>46</v>
      </c>
      <c r="E60" s="71" t="s">
        <v>451</v>
      </c>
      <c r="F60" s="69">
        <v>5</v>
      </c>
      <c r="G60" s="69"/>
    </row>
    <row r="61" spans="1:7" ht="16.5">
      <c r="A61" s="8" t="s">
        <v>364</v>
      </c>
      <c r="B61" s="8" t="s">
        <v>452</v>
      </c>
      <c r="C61" s="69"/>
      <c r="D61" s="69"/>
      <c r="E61" s="71"/>
      <c r="F61" s="69"/>
      <c r="G61" s="69"/>
    </row>
    <row r="62" spans="1:7" ht="33">
      <c r="A62" s="69">
        <v>1</v>
      </c>
      <c r="B62" s="71" t="s">
        <v>455</v>
      </c>
      <c r="C62" s="69">
        <v>1</v>
      </c>
      <c r="D62" s="69">
        <v>70</v>
      </c>
      <c r="E62" s="154" t="s">
        <v>707</v>
      </c>
      <c r="F62" s="69">
        <v>3</v>
      </c>
      <c r="G62" s="69"/>
    </row>
    <row r="63" spans="1:7" ht="33">
      <c r="A63" s="69">
        <v>2</v>
      </c>
      <c r="B63" s="71" t="s">
        <v>456</v>
      </c>
      <c r="C63" s="69">
        <v>1</v>
      </c>
      <c r="D63" s="69">
        <v>60</v>
      </c>
      <c r="E63" s="154" t="s">
        <v>706</v>
      </c>
      <c r="F63" s="69">
        <v>3</v>
      </c>
      <c r="G63" s="69"/>
    </row>
  </sheetData>
  <sheetProtection/>
  <mergeCells count="2">
    <mergeCell ref="A1:G1"/>
    <mergeCell ref="A2:G2"/>
  </mergeCells>
  <printOptions horizontalCentered="1"/>
  <pageMargins left="0.748031496062992" right="0" top="0.46" bottom="0.984251968503937" header="0.511811023622047" footer="0.511811023622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Đoàn Thị Hồng Hạnh</dc:creator>
  <cp:keywords/>
  <dc:description/>
  <cp:lastModifiedBy>MrWall</cp:lastModifiedBy>
  <cp:lastPrinted>2019-03-20T09:17:24Z</cp:lastPrinted>
  <dcterms:created xsi:type="dcterms:W3CDTF">2013-10-22T01:40:00Z</dcterms:created>
  <dcterms:modified xsi:type="dcterms:W3CDTF">2019-03-22T02:52:01Z</dcterms:modified>
  <cp:category/>
  <cp:version/>
  <cp:contentType/>
  <cp:contentStatus/>
</cp:coreProperties>
</file>